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Tekfen Holding\3Q21\Upload\"/>
    </mc:Choice>
  </mc:AlternateContent>
  <xr:revisionPtr revIDLastSave="0" documentId="13_ncr:1_{D35520C3-1628-4C32-B846-D457FCB1985B}" xr6:coauthVersionLast="47" xr6:coauthVersionMax="47" xr10:uidLastSave="{00000000-0000-0000-0000-000000000000}"/>
  <bookViews>
    <workbookView xWindow="-120" yWindow="-120" windowWidth="29040" windowHeight="15840" tabRatio="895" xr2:uid="{00000000-000D-0000-FFFF-FFFF00000000}"/>
  </bookViews>
  <sheets>
    <sheet name="Main Page" sheetId="5" r:id="rId1"/>
    <sheet name="Operational Data" sheetId="1" r:id="rId2"/>
    <sheet name="Financial Data - New Segment" sheetId="7" r:id="rId3"/>
    <sheet name="Financial Data - New - USD" sheetId="8" r:id="rId4"/>
    <sheet name="Financial Data - Old Segment" sheetId="2" r:id="rId5"/>
    <sheet name="Financial Data - Old Seg -USD" sheetId="9" r:id="rId6"/>
  </sheets>
  <definedNames>
    <definedName name="_xlnm.Print_Area" localSheetId="3">'Financial Data - New - USD'!$B$15:$B$146</definedName>
    <definedName name="_xlnm.Print_Area" localSheetId="2">'Financial Data - New Segment'!$B$16:$B$217</definedName>
    <definedName name="_xlnm.Print_Area" localSheetId="5">'Financial Data - Old Seg -USD'!$B$13:$AO$123</definedName>
    <definedName name="_xlnm.Print_Area" localSheetId="4">'Financial Data - Old Segment'!$B$14:$AO$192</definedName>
    <definedName name="_xlnm.Print_Area" localSheetId="0">'Main Page'!$A$1:$H$32</definedName>
    <definedName name="_xlnm.Print_Area" localSheetId="1">'Operational Data'!$B$6:$AO$150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4" i="8" l="1"/>
  <c r="M143" i="8"/>
  <c r="M142" i="8"/>
  <c r="M141" i="8"/>
  <c r="M140" i="8"/>
  <c r="M139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03" i="8"/>
  <c r="M102" i="8"/>
  <c r="M101" i="8"/>
  <c r="M100" i="8"/>
  <c r="M115" i="8" s="1"/>
  <c r="M99" i="8"/>
  <c r="M98" i="8"/>
  <c r="M97" i="8"/>
  <c r="M96" i="8"/>
  <c r="M111" i="8" s="1"/>
  <c r="M95" i="8"/>
  <c r="M94" i="8"/>
  <c r="M93" i="8"/>
  <c r="M92" i="8"/>
  <c r="M107" i="8" s="1"/>
  <c r="M91" i="8"/>
  <c r="M90" i="8"/>
  <c r="M89" i="8"/>
  <c r="M110" i="8" s="1"/>
  <c r="M88" i="8"/>
  <c r="M109" i="8" s="1"/>
  <c r="M87" i="8"/>
  <c r="M86" i="8"/>
  <c r="M65" i="8"/>
  <c r="M64" i="8"/>
  <c r="M63" i="8"/>
  <c r="M62" i="8"/>
  <c r="M61" i="8"/>
  <c r="M66" i="8" s="1"/>
  <c r="M59" i="8"/>
  <c r="M58" i="8"/>
  <c r="M57" i="8"/>
  <c r="M56" i="8"/>
  <c r="M71" i="8" s="1"/>
  <c r="M55" i="8"/>
  <c r="M53" i="8"/>
  <c r="M74" i="8" s="1"/>
  <c r="M52" i="8"/>
  <c r="M51" i="8"/>
  <c r="M50" i="8"/>
  <c r="M49" i="8"/>
  <c r="M54" i="8" s="1"/>
  <c r="M43" i="8"/>
  <c r="M44" i="8" s="1"/>
  <c r="M42" i="8"/>
  <c r="M41" i="8"/>
  <c r="M40" i="8"/>
  <c r="M38" i="8"/>
  <c r="M39" i="8" s="1"/>
  <c r="M36" i="8"/>
  <c r="M34" i="8"/>
  <c r="M35" i="8" s="1"/>
  <c r="M33" i="8"/>
  <c r="M37" i="8" s="1"/>
  <c r="M27" i="8"/>
  <c r="M28" i="8" s="1"/>
  <c r="M26" i="8"/>
  <c r="M25" i="8"/>
  <c r="M24" i="8"/>
  <c r="M22" i="8"/>
  <c r="M23" i="8" s="1"/>
  <c r="M20" i="8"/>
  <c r="M21" i="8" s="1"/>
  <c r="M18" i="8"/>
  <c r="M17" i="8"/>
  <c r="M19" i="8" s="1"/>
  <c r="L214" i="7"/>
  <c r="L213" i="7"/>
  <c r="M217" i="7"/>
  <c r="M216" i="7"/>
  <c r="M215" i="7"/>
  <c r="M214" i="7"/>
  <c r="M213" i="7"/>
  <c r="M212" i="7"/>
  <c r="M211" i="7"/>
  <c r="M210" i="7"/>
  <c r="M209" i="7"/>
  <c r="M174" i="7"/>
  <c r="M171" i="7"/>
  <c r="M104" i="7"/>
  <c r="M103" i="7"/>
  <c r="M102" i="7"/>
  <c r="M101" i="7"/>
  <c r="M116" i="7" s="1"/>
  <c r="M100" i="7"/>
  <c r="M99" i="7"/>
  <c r="M98" i="7"/>
  <c r="M97" i="7"/>
  <c r="M112" i="7" s="1"/>
  <c r="M96" i="7"/>
  <c r="M95" i="7"/>
  <c r="M94" i="7"/>
  <c r="M93" i="7"/>
  <c r="M108" i="7" s="1"/>
  <c r="M92" i="7"/>
  <c r="M91" i="7"/>
  <c r="M90" i="7"/>
  <c r="M89" i="7"/>
  <c r="M110" i="7" s="1"/>
  <c r="M88" i="7"/>
  <c r="M87" i="7"/>
  <c r="M34" i="7"/>
  <c r="M35" i="7"/>
  <c r="M36" i="7"/>
  <c r="M37" i="7"/>
  <c r="M38" i="7" s="1"/>
  <c r="M39" i="7"/>
  <c r="M40" i="7"/>
  <c r="M41" i="7"/>
  <c r="M42" i="7"/>
  <c r="M43" i="7"/>
  <c r="M44" i="7"/>
  <c r="M45" i="7"/>
  <c r="M25" i="7"/>
  <c r="M29" i="7"/>
  <c r="M24" i="7"/>
  <c r="M22" i="7"/>
  <c r="M20" i="7"/>
  <c r="M108" i="8"/>
  <c r="M112" i="8"/>
  <c r="M113" i="8"/>
  <c r="M114" i="8"/>
  <c r="M116" i="8"/>
  <c r="M117" i="8"/>
  <c r="M118" i="8"/>
  <c r="M72" i="8"/>
  <c r="M73" i="8"/>
  <c r="M76" i="8"/>
  <c r="M77" i="8"/>
  <c r="M78" i="8"/>
  <c r="M79" i="8"/>
  <c r="M80" i="8"/>
  <c r="M109" i="7"/>
  <c r="M111" i="7"/>
  <c r="M113" i="7"/>
  <c r="M114" i="7"/>
  <c r="M115" i="7"/>
  <c r="M117" i="7"/>
  <c r="M118" i="7"/>
  <c r="M119" i="7"/>
  <c r="M71" i="7"/>
  <c r="M72" i="7"/>
  <c r="M73" i="7"/>
  <c r="M74" i="7"/>
  <c r="M75" i="7"/>
  <c r="M76" i="7"/>
  <c r="M77" i="7"/>
  <c r="M78" i="7"/>
  <c r="M79" i="7"/>
  <c r="M80" i="7"/>
  <c r="M81" i="7"/>
  <c r="M82" i="7"/>
  <c r="BC91" i="1"/>
  <c r="BC10" i="1"/>
  <c r="BC137" i="1"/>
  <c r="BC126" i="1"/>
  <c r="BC112" i="1"/>
  <c r="BC107" i="1"/>
  <c r="BC106" i="1"/>
  <c r="BC85" i="1"/>
  <c r="BC84" i="1"/>
  <c r="BC82" i="1"/>
  <c r="BC81" i="1"/>
  <c r="BC80" i="1"/>
  <c r="BC79" i="1"/>
  <c r="BC78" i="1"/>
  <c r="BC77" i="1"/>
  <c r="BC76" i="1"/>
  <c r="BC75" i="1"/>
  <c r="BC74" i="1"/>
  <c r="BC73" i="1"/>
  <c r="BC70" i="1"/>
  <c r="BC69" i="1"/>
  <c r="BC68" i="1"/>
  <c r="BC56" i="1"/>
  <c r="BC45" i="1"/>
  <c r="BC31" i="1"/>
  <c r="BC26" i="1"/>
  <c r="BC25" i="1"/>
  <c r="L123" i="8"/>
  <c r="L124" i="8"/>
  <c r="L125" i="8"/>
  <c r="L126" i="8"/>
  <c r="L127" i="8"/>
  <c r="L128" i="8"/>
  <c r="L129" i="8"/>
  <c r="L130" i="8"/>
  <c r="L131" i="8"/>
  <c r="L132" i="8"/>
  <c r="L133" i="8"/>
  <c r="L134" i="8"/>
  <c r="L27" i="8"/>
  <c r="L28" i="8" s="1"/>
  <c r="L26" i="8"/>
  <c r="L25" i="8"/>
  <c r="L24" i="8"/>
  <c r="L22" i="8"/>
  <c r="L23" i="8" s="1"/>
  <c r="L20" i="8"/>
  <c r="L18" i="8"/>
  <c r="L19" i="8" s="1"/>
  <c r="L17" i="8"/>
  <c r="L21" i="8" s="1"/>
  <c r="L174" i="7"/>
  <c r="L171" i="7"/>
  <c r="L44" i="7"/>
  <c r="L45" i="7" s="1"/>
  <c r="L43" i="7"/>
  <c r="L42" i="7"/>
  <c r="L41" i="7"/>
  <c r="L39" i="7"/>
  <c r="L40" i="7" s="1"/>
  <c r="L37" i="7"/>
  <c r="L35" i="7"/>
  <c r="L36" i="7" s="1"/>
  <c r="L34" i="7"/>
  <c r="L38" i="7" s="1"/>
  <c r="L29" i="7"/>
  <c r="L25" i="7"/>
  <c r="L24" i="7"/>
  <c r="L22" i="7"/>
  <c r="L20" i="7"/>
  <c r="M81" i="8" l="1"/>
  <c r="M70" i="8"/>
  <c r="M60" i="8"/>
  <c r="M75" i="8" s="1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117" i="8" s="1"/>
  <c r="L89" i="8"/>
  <c r="L88" i="8"/>
  <c r="L87" i="8"/>
  <c r="L86" i="8"/>
  <c r="L43" i="8"/>
  <c r="L44" i="8" s="1"/>
  <c r="L42" i="8"/>
  <c r="L41" i="8"/>
  <c r="L40" i="8"/>
  <c r="L38" i="8"/>
  <c r="L36" i="8"/>
  <c r="L34" i="8"/>
  <c r="L33" i="8"/>
  <c r="L49" i="8"/>
  <c r="L50" i="8"/>
  <c r="L51" i="8"/>
  <c r="L52" i="8"/>
  <c r="L53" i="8"/>
  <c r="L55" i="8"/>
  <c r="L56" i="8"/>
  <c r="L57" i="8"/>
  <c r="L58" i="8"/>
  <c r="L59" i="8"/>
  <c r="L61" i="8"/>
  <c r="L62" i="8"/>
  <c r="L114" i="8" s="1"/>
  <c r="L63" i="8"/>
  <c r="L64" i="8"/>
  <c r="L65" i="8"/>
  <c r="L113" i="8"/>
  <c r="L139" i="8"/>
  <c r="L140" i="8"/>
  <c r="L141" i="8"/>
  <c r="L142" i="8"/>
  <c r="L143" i="8"/>
  <c r="L144" i="8"/>
  <c r="L70" i="8"/>
  <c r="L72" i="8"/>
  <c r="L74" i="8"/>
  <c r="L76" i="8"/>
  <c r="L77" i="8"/>
  <c r="L78" i="8"/>
  <c r="L80" i="8"/>
  <c r="L217" i="7"/>
  <c r="L216" i="7"/>
  <c r="L215" i="7"/>
  <c r="L212" i="7"/>
  <c r="L211" i="7"/>
  <c r="L210" i="7"/>
  <c r="L209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82" i="7"/>
  <c r="L81" i="7"/>
  <c r="L80" i="7"/>
  <c r="L79" i="7"/>
  <c r="L78" i="7"/>
  <c r="L77" i="7"/>
  <c r="L76" i="7"/>
  <c r="L75" i="7"/>
  <c r="L74" i="7"/>
  <c r="L73" i="7"/>
  <c r="L72" i="7"/>
  <c r="L71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AV121" i="9"/>
  <c r="AV120" i="9"/>
  <c r="AV118" i="9"/>
  <c r="AV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AM117" i="9"/>
  <c r="AN117" i="9"/>
  <c r="AO117" i="9"/>
  <c r="AP117" i="9"/>
  <c r="AQ117" i="9"/>
  <c r="AR117" i="9"/>
  <c r="AS117" i="9"/>
  <c r="AT117" i="9"/>
  <c r="AU117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AM118" i="9"/>
  <c r="AN118" i="9"/>
  <c r="AO118" i="9"/>
  <c r="AP118" i="9"/>
  <c r="AQ118" i="9"/>
  <c r="AR118" i="9"/>
  <c r="AS118" i="9"/>
  <c r="AT118" i="9"/>
  <c r="AU118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AM119" i="9"/>
  <c r="AN119" i="9"/>
  <c r="AO119" i="9"/>
  <c r="AP119" i="9"/>
  <c r="AQ119" i="9"/>
  <c r="AR119" i="9"/>
  <c r="AS119" i="9"/>
  <c r="AT119" i="9"/>
  <c r="AU119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AM120" i="9"/>
  <c r="AN120" i="9"/>
  <c r="AO120" i="9"/>
  <c r="AP120" i="9"/>
  <c r="AQ120" i="9"/>
  <c r="AR120" i="9"/>
  <c r="AS120" i="9"/>
  <c r="AT120" i="9"/>
  <c r="AU120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C121" i="9"/>
  <c r="C120" i="9"/>
  <c r="C119" i="9"/>
  <c r="C118" i="9"/>
  <c r="C117" i="9"/>
  <c r="AV111" i="9"/>
  <c r="AV112" i="9"/>
  <c r="AV103" i="9"/>
  <c r="AV104" i="9"/>
  <c r="AV106" i="9"/>
  <c r="AV107" i="9"/>
  <c r="AV108" i="9"/>
  <c r="AV109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D105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AF105" i="9"/>
  <c r="AG105" i="9"/>
  <c r="AH105" i="9"/>
  <c r="AI105" i="9"/>
  <c r="AJ105" i="9"/>
  <c r="AK105" i="9"/>
  <c r="AL105" i="9"/>
  <c r="AM105" i="9"/>
  <c r="AN105" i="9"/>
  <c r="AO105" i="9"/>
  <c r="AP105" i="9"/>
  <c r="AQ105" i="9"/>
  <c r="AR105" i="9"/>
  <c r="AS105" i="9"/>
  <c r="AT105" i="9"/>
  <c r="AU105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AN106" i="9"/>
  <c r="AO106" i="9"/>
  <c r="AP106" i="9"/>
  <c r="AQ106" i="9"/>
  <c r="AR106" i="9"/>
  <c r="AS106" i="9"/>
  <c r="AT106" i="9"/>
  <c r="AU106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AN107" i="9"/>
  <c r="AO107" i="9"/>
  <c r="AP107" i="9"/>
  <c r="AQ107" i="9"/>
  <c r="AR107" i="9"/>
  <c r="AS107" i="9"/>
  <c r="AT107" i="9"/>
  <c r="AU107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AS108" i="9"/>
  <c r="AT108" i="9"/>
  <c r="AU108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AM109" i="9"/>
  <c r="AN109" i="9"/>
  <c r="AO109" i="9"/>
  <c r="AP109" i="9"/>
  <c r="AQ109" i="9"/>
  <c r="AR109" i="9"/>
  <c r="AS109" i="9"/>
  <c r="AT109" i="9"/>
  <c r="AU109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AN110" i="9"/>
  <c r="AO110" i="9"/>
  <c r="AP110" i="9"/>
  <c r="AQ110" i="9"/>
  <c r="AR110" i="9"/>
  <c r="AS110" i="9"/>
  <c r="AT110" i="9"/>
  <c r="AU110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AF111" i="9"/>
  <c r="AG111" i="9"/>
  <c r="AH111" i="9"/>
  <c r="AI111" i="9"/>
  <c r="AJ111" i="9"/>
  <c r="AK111" i="9"/>
  <c r="AL111" i="9"/>
  <c r="AM111" i="9"/>
  <c r="AN111" i="9"/>
  <c r="AO111" i="9"/>
  <c r="AP111" i="9"/>
  <c r="AQ111" i="9"/>
  <c r="AR111" i="9"/>
  <c r="AS111" i="9"/>
  <c r="AT111" i="9"/>
  <c r="AU111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AN112" i="9"/>
  <c r="AO112" i="9"/>
  <c r="AP112" i="9"/>
  <c r="AQ112" i="9"/>
  <c r="AR112" i="9"/>
  <c r="AS112" i="9"/>
  <c r="AT112" i="9"/>
  <c r="AU112" i="9"/>
  <c r="C112" i="9"/>
  <c r="C111" i="9"/>
  <c r="C110" i="9"/>
  <c r="C109" i="9"/>
  <c r="C108" i="9"/>
  <c r="C107" i="9"/>
  <c r="C106" i="9"/>
  <c r="C105" i="9"/>
  <c r="C104" i="9"/>
  <c r="C103" i="9"/>
  <c r="AV70" i="9"/>
  <c r="AV69" i="9"/>
  <c r="AV67" i="9"/>
  <c r="AV66" i="9"/>
  <c r="AV65" i="9"/>
  <c r="AV64" i="9"/>
  <c r="AV63" i="9"/>
  <c r="AV62" i="9"/>
  <c r="AV61" i="9"/>
  <c r="AV59" i="9"/>
  <c r="AV58" i="9"/>
  <c r="AV57" i="9"/>
  <c r="AV56" i="9"/>
  <c r="AV55" i="9"/>
  <c r="AV54" i="9"/>
  <c r="AV53" i="9"/>
  <c r="AV51" i="9"/>
  <c r="AV50" i="9"/>
  <c r="AV49" i="9"/>
  <c r="AV48" i="9"/>
  <c r="AV47" i="9"/>
  <c r="D47" i="9"/>
  <c r="E47" i="9"/>
  <c r="F47" i="9"/>
  <c r="G47" i="9"/>
  <c r="H75" i="9" s="1"/>
  <c r="H47" i="9"/>
  <c r="I47" i="9"/>
  <c r="J47" i="9"/>
  <c r="K47" i="9"/>
  <c r="L75" i="9" s="1"/>
  <c r="L47" i="9"/>
  <c r="M47" i="9"/>
  <c r="N47" i="9"/>
  <c r="O47" i="9"/>
  <c r="P75" i="9" s="1"/>
  <c r="P47" i="9"/>
  <c r="Q47" i="9"/>
  <c r="R47" i="9"/>
  <c r="S47" i="9"/>
  <c r="T75" i="9" s="1"/>
  <c r="T47" i="9"/>
  <c r="U47" i="9"/>
  <c r="V47" i="9"/>
  <c r="W47" i="9"/>
  <c r="X75" i="9" s="1"/>
  <c r="X47" i="9"/>
  <c r="Y47" i="9"/>
  <c r="Z47" i="9"/>
  <c r="AA47" i="9"/>
  <c r="AB75" i="9" s="1"/>
  <c r="AB47" i="9"/>
  <c r="AC47" i="9"/>
  <c r="AD47" i="9"/>
  <c r="AE47" i="9"/>
  <c r="AF75" i="9" s="1"/>
  <c r="AF47" i="9"/>
  <c r="AG47" i="9"/>
  <c r="AH47" i="9"/>
  <c r="AI47" i="9"/>
  <c r="AJ75" i="9" s="1"/>
  <c r="AJ47" i="9"/>
  <c r="AK47" i="9"/>
  <c r="AL47" i="9"/>
  <c r="AM47" i="9"/>
  <c r="AN75" i="9" s="1"/>
  <c r="AN47" i="9"/>
  <c r="AO47" i="9"/>
  <c r="AP47" i="9"/>
  <c r="AQ47" i="9"/>
  <c r="AR75" i="9" s="1"/>
  <c r="AR47" i="9"/>
  <c r="AS47" i="9"/>
  <c r="AT47" i="9"/>
  <c r="AU47" i="9"/>
  <c r="AV75" i="9" s="1"/>
  <c r="D48" i="9"/>
  <c r="E48" i="9"/>
  <c r="F48" i="9"/>
  <c r="G48" i="9"/>
  <c r="H76" i="9" s="1"/>
  <c r="H48" i="9"/>
  <c r="I48" i="9"/>
  <c r="J48" i="9"/>
  <c r="K48" i="9"/>
  <c r="L76" i="9" s="1"/>
  <c r="L48" i="9"/>
  <c r="M48" i="9"/>
  <c r="N48" i="9"/>
  <c r="O48" i="9"/>
  <c r="P76" i="9" s="1"/>
  <c r="P48" i="9"/>
  <c r="Q48" i="9"/>
  <c r="R48" i="9"/>
  <c r="S48" i="9"/>
  <c r="T76" i="9" s="1"/>
  <c r="T48" i="9"/>
  <c r="U48" i="9"/>
  <c r="V48" i="9"/>
  <c r="W48" i="9"/>
  <c r="X76" i="9" s="1"/>
  <c r="X48" i="9"/>
  <c r="Y48" i="9"/>
  <c r="Z48" i="9"/>
  <c r="AA48" i="9"/>
  <c r="AB76" i="9" s="1"/>
  <c r="AB48" i="9"/>
  <c r="AC48" i="9"/>
  <c r="AD48" i="9"/>
  <c r="AE48" i="9"/>
  <c r="AF76" i="9" s="1"/>
  <c r="AF48" i="9"/>
  <c r="AG48" i="9"/>
  <c r="AH48" i="9"/>
  <c r="AI48" i="9"/>
  <c r="AJ76" i="9" s="1"/>
  <c r="AJ48" i="9"/>
  <c r="AK48" i="9"/>
  <c r="AL48" i="9"/>
  <c r="AM48" i="9"/>
  <c r="AN76" i="9" s="1"/>
  <c r="AN48" i="9"/>
  <c r="AO48" i="9"/>
  <c r="AP48" i="9"/>
  <c r="AQ48" i="9"/>
  <c r="AR76" i="9" s="1"/>
  <c r="AR48" i="9"/>
  <c r="AS48" i="9"/>
  <c r="AT48" i="9"/>
  <c r="AU48" i="9"/>
  <c r="D49" i="9"/>
  <c r="E49" i="9"/>
  <c r="F49" i="9"/>
  <c r="G49" i="9"/>
  <c r="G77" i="9" s="1"/>
  <c r="H49" i="9"/>
  <c r="I49" i="9"/>
  <c r="J49" i="9"/>
  <c r="K49" i="9"/>
  <c r="K77" i="9" s="1"/>
  <c r="L49" i="9"/>
  <c r="M49" i="9"/>
  <c r="N49" i="9"/>
  <c r="O49" i="9"/>
  <c r="O77" i="9" s="1"/>
  <c r="P49" i="9"/>
  <c r="Q49" i="9"/>
  <c r="R49" i="9"/>
  <c r="S49" i="9"/>
  <c r="S77" i="9" s="1"/>
  <c r="T49" i="9"/>
  <c r="U49" i="9"/>
  <c r="V49" i="9"/>
  <c r="W49" i="9"/>
  <c r="W77" i="9" s="1"/>
  <c r="X49" i="9"/>
  <c r="Y49" i="9"/>
  <c r="Z49" i="9"/>
  <c r="AA49" i="9"/>
  <c r="AA77" i="9" s="1"/>
  <c r="AB49" i="9"/>
  <c r="AC49" i="9"/>
  <c r="AD49" i="9"/>
  <c r="AE49" i="9"/>
  <c r="AE77" i="9" s="1"/>
  <c r="AF49" i="9"/>
  <c r="AG49" i="9"/>
  <c r="AH49" i="9"/>
  <c r="AI49" i="9"/>
  <c r="AI77" i="9" s="1"/>
  <c r="AJ49" i="9"/>
  <c r="AK49" i="9"/>
  <c r="AL49" i="9"/>
  <c r="AL77" i="9" s="1"/>
  <c r="AM49" i="9"/>
  <c r="AM77" i="9" s="1"/>
  <c r="AN49" i="9"/>
  <c r="AO49" i="9"/>
  <c r="AP49" i="9"/>
  <c r="AP77" i="9" s="1"/>
  <c r="AQ49" i="9"/>
  <c r="AQ77" i="9" s="1"/>
  <c r="AR49" i="9"/>
  <c r="AS49" i="9"/>
  <c r="AT49" i="9"/>
  <c r="AT77" i="9" s="1"/>
  <c r="AU49" i="9"/>
  <c r="AU77" i="9" s="1"/>
  <c r="D50" i="9"/>
  <c r="E50" i="9"/>
  <c r="F50" i="9"/>
  <c r="F78" i="9" s="1"/>
  <c r="G50" i="9"/>
  <c r="H78" i="9" s="1"/>
  <c r="H50" i="9"/>
  <c r="I50" i="9"/>
  <c r="J50" i="9"/>
  <c r="J78" i="9" s="1"/>
  <c r="K50" i="9"/>
  <c r="K78" i="9" s="1"/>
  <c r="L50" i="9"/>
  <c r="M50" i="9"/>
  <c r="N50" i="9"/>
  <c r="N78" i="9" s="1"/>
  <c r="O50" i="9"/>
  <c r="P78" i="9" s="1"/>
  <c r="P50" i="9"/>
  <c r="Q50" i="9"/>
  <c r="R50" i="9"/>
  <c r="R78" i="9" s="1"/>
  <c r="S50" i="9"/>
  <c r="T78" i="9" s="1"/>
  <c r="T50" i="9"/>
  <c r="U50" i="9"/>
  <c r="V50" i="9"/>
  <c r="V78" i="9" s="1"/>
  <c r="W50" i="9"/>
  <c r="X78" i="9" s="1"/>
  <c r="X50" i="9"/>
  <c r="Y50" i="9"/>
  <c r="Z50" i="9"/>
  <c r="Z78" i="9" s="1"/>
  <c r="AA50" i="9"/>
  <c r="AA78" i="9" s="1"/>
  <c r="AB50" i="9"/>
  <c r="AC50" i="9"/>
  <c r="AD50" i="9"/>
  <c r="AD78" i="9" s="1"/>
  <c r="AE50" i="9"/>
  <c r="AF78" i="9" s="1"/>
  <c r="AF50" i="9"/>
  <c r="AG50" i="9"/>
  <c r="AH50" i="9"/>
  <c r="AH78" i="9" s="1"/>
  <c r="AI50" i="9"/>
  <c r="AJ78" i="9" s="1"/>
  <c r="AJ50" i="9"/>
  <c r="AK50" i="9"/>
  <c r="AL50" i="9"/>
  <c r="AL78" i="9" s="1"/>
  <c r="AM50" i="9"/>
  <c r="AN78" i="9" s="1"/>
  <c r="AN50" i="9"/>
  <c r="AO50" i="9"/>
  <c r="AP50" i="9"/>
  <c r="AP78" i="9" s="1"/>
  <c r="AQ50" i="9"/>
  <c r="AQ78" i="9" s="1"/>
  <c r="AR50" i="9"/>
  <c r="AS50" i="9"/>
  <c r="AT50" i="9"/>
  <c r="AT78" i="9" s="1"/>
  <c r="AU50" i="9"/>
  <c r="AV78" i="9" s="1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T79" i="9" s="1"/>
  <c r="AU51" i="9"/>
  <c r="D52" i="9"/>
  <c r="E52" i="9"/>
  <c r="F52" i="9"/>
  <c r="F80" i="9" s="1"/>
  <c r="G52" i="9"/>
  <c r="G80" i="9" s="1"/>
  <c r="H52" i="9"/>
  <c r="I52" i="9"/>
  <c r="J52" i="9"/>
  <c r="J80" i="9" s="1"/>
  <c r="K52" i="9"/>
  <c r="K80" i="9" s="1"/>
  <c r="L52" i="9"/>
  <c r="M52" i="9"/>
  <c r="N52" i="9"/>
  <c r="N80" i="9" s="1"/>
  <c r="O52" i="9"/>
  <c r="O80" i="9" s="1"/>
  <c r="P52" i="9"/>
  <c r="Q52" i="9"/>
  <c r="R52" i="9"/>
  <c r="R80" i="9" s="1"/>
  <c r="S52" i="9"/>
  <c r="S80" i="9" s="1"/>
  <c r="T52" i="9"/>
  <c r="U52" i="9"/>
  <c r="V52" i="9"/>
  <c r="V80" i="9" s="1"/>
  <c r="W52" i="9"/>
  <c r="W80" i="9" s="1"/>
  <c r="X52" i="9"/>
  <c r="Y52" i="9"/>
  <c r="Z52" i="9"/>
  <c r="Z80" i="9" s="1"/>
  <c r="AA52" i="9"/>
  <c r="AA80" i="9" s="1"/>
  <c r="AB52" i="9"/>
  <c r="AC52" i="9"/>
  <c r="AD52" i="9"/>
  <c r="AD80" i="9" s="1"/>
  <c r="AE52" i="9"/>
  <c r="AE80" i="9" s="1"/>
  <c r="AF52" i="9"/>
  <c r="AG52" i="9"/>
  <c r="AH52" i="9"/>
  <c r="AH80" i="9" s="1"/>
  <c r="AI52" i="9"/>
  <c r="AI80" i="9" s="1"/>
  <c r="AJ52" i="9"/>
  <c r="AK52" i="9"/>
  <c r="AL52" i="9"/>
  <c r="AL80" i="9" s="1"/>
  <c r="AM52" i="9"/>
  <c r="AM80" i="9" s="1"/>
  <c r="AN52" i="9"/>
  <c r="AO52" i="9"/>
  <c r="AP52" i="9"/>
  <c r="AP80" i="9" s="1"/>
  <c r="AQ52" i="9"/>
  <c r="AQ80" i="9" s="1"/>
  <c r="AR52" i="9"/>
  <c r="AS52" i="9"/>
  <c r="AT52" i="9"/>
  <c r="AT80" i="9" s="1"/>
  <c r="AU52" i="9"/>
  <c r="AU80" i="9" s="1"/>
  <c r="D53" i="9"/>
  <c r="E53" i="9"/>
  <c r="F53" i="9"/>
  <c r="F81" i="9" s="1"/>
  <c r="G53" i="9"/>
  <c r="G81" i="9" s="1"/>
  <c r="H53" i="9"/>
  <c r="I53" i="9"/>
  <c r="J53" i="9"/>
  <c r="J81" i="9" s="1"/>
  <c r="K53" i="9"/>
  <c r="K81" i="9" s="1"/>
  <c r="L53" i="9"/>
  <c r="M53" i="9"/>
  <c r="N53" i="9"/>
  <c r="N81" i="9" s="1"/>
  <c r="O53" i="9"/>
  <c r="O81" i="9" s="1"/>
  <c r="P53" i="9"/>
  <c r="Q53" i="9"/>
  <c r="R53" i="9"/>
  <c r="R81" i="9" s="1"/>
  <c r="S53" i="9"/>
  <c r="S81" i="9" s="1"/>
  <c r="T53" i="9"/>
  <c r="U53" i="9"/>
  <c r="V53" i="9"/>
  <c r="V81" i="9" s="1"/>
  <c r="W53" i="9"/>
  <c r="W81" i="9" s="1"/>
  <c r="X53" i="9"/>
  <c r="Y53" i="9"/>
  <c r="Z53" i="9"/>
  <c r="Z81" i="9" s="1"/>
  <c r="AA53" i="9"/>
  <c r="AA81" i="9" s="1"/>
  <c r="AB53" i="9"/>
  <c r="AC53" i="9"/>
  <c r="AD53" i="9"/>
  <c r="AD81" i="9" s="1"/>
  <c r="AE53" i="9"/>
  <c r="AE81" i="9" s="1"/>
  <c r="AF53" i="9"/>
  <c r="AG53" i="9"/>
  <c r="AH53" i="9"/>
  <c r="AH81" i="9" s="1"/>
  <c r="AI53" i="9"/>
  <c r="AI81" i="9" s="1"/>
  <c r="AJ53" i="9"/>
  <c r="AK53" i="9"/>
  <c r="AL53" i="9"/>
  <c r="AL81" i="9" s="1"/>
  <c r="AM53" i="9"/>
  <c r="AM81" i="9" s="1"/>
  <c r="AN53" i="9"/>
  <c r="AO53" i="9"/>
  <c r="AP53" i="9"/>
  <c r="AP81" i="9" s="1"/>
  <c r="AQ53" i="9"/>
  <c r="AR53" i="9"/>
  <c r="AS53" i="9"/>
  <c r="AT53" i="9"/>
  <c r="AT81" i="9" s="1"/>
  <c r="AU53" i="9"/>
  <c r="D54" i="9"/>
  <c r="E54" i="9"/>
  <c r="F54" i="9"/>
  <c r="F82" i="9" s="1"/>
  <c r="G54" i="9"/>
  <c r="H54" i="9"/>
  <c r="I54" i="9"/>
  <c r="J54" i="9"/>
  <c r="K54" i="9"/>
  <c r="K82" i="9" s="1"/>
  <c r="L54" i="9"/>
  <c r="M54" i="9"/>
  <c r="N54" i="9"/>
  <c r="N82" i="9" s="1"/>
  <c r="O54" i="9"/>
  <c r="O82" i="9" s="1"/>
  <c r="P54" i="9"/>
  <c r="Q54" i="9"/>
  <c r="R54" i="9"/>
  <c r="R82" i="9" s="1"/>
  <c r="S54" i="9"/>
  <c r="T54" i="9"/>
  <c r="U54" i="9"/>
  <c r="V54" i="9"/>
  <c r="V82" i="9" s="1"/>
  <c r="W54" i="9"/>
  <c r="X54" i="9"/>
  <c r="Y54" i="9"/>
  <c r="Z54" i="9"/>
  <c r="AA54" i="9"/>
  <c r="AA82" i="9" s="1"/>
  <c r="AB54" i="9"/>
  <c r="AC54" i="9"/>
  <c r="AD54" i="9"/>
  <c r="AD82" i="9" s="1"/>
  <c r="AE54" i="9"/>
  <c r="AE82" i="9" s="1"/>
  <c r="AF54" i="9"/>
  <c r="AG54" i="9"/>
  <c r="AH54" i="9"/>
  <c r="AH82" i="9" s="1"/>
  <c r="AI54" i="9"/>
  <c r="AJ54" i="9"/>
  <c r="AK54" i="9"/>
  <c r="AL54" i="9"/>
  <c r="AL82" i="9" s="1"/>
  <c r="AM54" i="9"/>
  <c r="AN54" i="9"/>
  <c r="AO54" i="9"/>
  <c r="AP54" i="9"/>
  <c r="AQ54" i="9"/>
  <c r="AQ82" i="9" s="1"/>
  <c r="AR54" i="9"/>
  <c r="AS54" i="9"/>
  <c r="AT54" i="9"/>
  <c r="AT82" i="9" s="1"/>
  <c r="AU54" i="9"/>
  <c r="AU82" i="9" s="1"/>
  <c r="D55" i="9"/>
  <c r="E55" i="9"/>
  <c r="F55" i="9"/>
  <c r="F83" i="9" s="1"/>
  <c r="G55" i="9"/>
  <c r="H55" i="9"/>
  <c r="I55" i="9"/>
  <c r="J55" i="9"/>
  <c r="J83" i="9" s="1"/>
  <c r="K55" i="9"/>
  <c r="L55" i="9"/>
  <c r="M55" i="9"/>
  <c r="N55" i="9"/>
  <c r="O55" i="9"/>
  <c r="O83" i="9" s="1"/>
  <c r="P55" i="9"/>
  <c r="Q55" i="9"/>
  <c r="R55" i="9"/>
  <c r="R83" i="9" s="1"/>
  <c r="S55" i="9"/>
  <c r="S83" i="9" s="1"/>
  <c r="T55" i="9"/>
  <c r="U55" i="9"/>
  <c r="V55" i="9"/>
  <c r="V83" i="9" s="1"/>
  <c r="W55" i="9"/>
  <c r="X55" i="9"/>
  <c r="Y55" i="9"/>
  <c r="Z55" i="9"/>
  <c r="Z83" i="9" s="1"/>
  <c r="AA55" i="9"/>
  <c r="AB55" i="9"/>
  <c r="AC55" i="9"/>
  <c r="AD55" i="9"/>
  <c r="AE55" i="9"/>
  <c r="AE83" i="9" s="1"/>
  <c r="AF55" i="9"/>
  <c r="AG55" i="9"/>
  <c r="AH55" i="9"/>
  <c r="AH83" i="9" s="1"/>
  <c r="AI55" i="9"/>
  <c r="AI83" i="9" s="1"/>
  <c r="AJ55" i="9"/>
  <c r="AK55" i="9"/>
  <c r="AL55" i="9"/>
  <c r="AL83" i="9" s="1"/>
  <c r="AM55" i="9"/>
  <c r="AN55" i="9"/>
  <c r="AO55" i="9"/>
  <c r="AP55" i="9"/>
  <c r="AP83" i="9" s="1"/>
  <c r="AQ55" i="9"/>
  <c r="AR55" i="9"/>
  <c r="AS55" i="9"/>
  <c r="AT55" i="9"/>
  <c r="AU55" i="9"/>
  <c r="AU83" i="9" s="1"/>
  <c r="D56" i="9"/>
  <c r="E56" i="9"/>
  <c r="F56" i="9"/>
  <c r="F84" i="9" s="1"/>
  <c r="G56" i="9"/>
  <c r="G84" i="9" s="1"/>
  <c r="H56" i="9"/>
  <c r="I56" i="9"/>
  <c r="J56" i="9"/>
  <c r="J84" i="9" s="1"/>
  <c r="K56" i="9"/>
  <c r="L56" i="9"/>
  <c r="M56" i="9"/>
  <c r="N56" i="9"/>
  <c r="N84" i="9" s="1"/>
  <c r="O56" i="9"/>
  <c r="P56" i="9"/>
  <c r="Q56" i="9"/>
  <c r="R56" i="9"/>
  <c r="S56" i="9"/>
  <c r="S84" i="9" s="1"/>
  <c r="T56" i="9"/>
  <c r="U56" i="9"/>
  <c r="V56" i="9"/>
  <c r="V84" i="9" s="1"/>
  <c r="W56" i="9"/>
  <c r="W84" i="9" s="1"/>
  <c r="X56" i="9"/>
  <c r="Y56" i="9"/>
  <c r="Z56" i="9"/>
  <c r="Z84" i="9" s="1"/>
  <c r="AA56" i="9"/>
  <c r="AB56" i="9"/>
  <c r="AC56" i="9"/>
  <c r="AD56" i="9"/>
  <c r="AD84" i="9" s="1"/>
  <c r="AE56" i="9"/>
  <c r="AF56" i="9"/>
  <c r="AG56" i="9"/>
  <c r="AH56" i="9"/>
  <c r="AI56" i="9"/>
  <c r="AI84" i="9" s="1"/>
  <c r="AJ56" i="9"/>
  <c r="AK56" i="9"/>
  <c r="AL56" i="9"/>
  <c r="AL84" i="9" s="1"/>
  <c r="AM56" i="9"/>
  <c r="AM84" i="9" s="1"/>
  <c r="AN56" i="9"/>
  <c r="AO56" i="9"/>
  <c r="AP56" i="9"/>
  <c r="AP84" i="9" s="1"/>
  <c r="AQ56" i="9"/>
  <c r="AR56" i="9"/>
  <c r="AS56" i="9"/>
  <c r="AT56" i="9"/>
  <c r="AT84" i="9" s="1"/>
  <c r="AU56" i="9"/>
  <c r="D57" i="9"/>
  <c r="E57" i="9"/>
  <c r="F57" i="9"/>
  <c r="F85" i="9" s="1"/>
  <c r="G57" i="9"/>
  <c r="H85" i="9" s="1"/>
  <c r="H57" i="9"/>
  <c r="I57" i="9"/>
  <c r="J57" i="9"/>
  <c r="J85" i="9" s="1"/>
  <c r="K57" i="9"/>
  <c r="K85" i="9" s="1"/>
  <c r="L57" i="9"/>
  <c r="M57" i="9"/>
  <c r="N57" i="9"/>
  <c r="N85" i="9" s="1"/>
  <c r="O57" i="9"/>
  <c r="O85" i="9" s="1"/>
  <c r="P57" i="9"/>
  <c r="Q57" i="9"/>
  <c r="R57" i="9"/>
  <c r="R85" i="9" s="1"/>
  <c r="S57" i="9"/>
  <c r="T57" i="9"/>
  <c r="U57" i="9"/>
  <c r="V57" i="9"/>
  <c r="V85" i="9" s="1"/>
  <c r="W57" i="9"/>
  <c r="X85" i="9" s="1"/>
  <c r="X57" i="9"/>
  <c r="Y57" i="9"/>
  <c r="Z57" i="9"/>
  <c r="Z85" i="9" s="1"/>
  <c r="AA57" i="9"/>
  <c r="AA85" i="9" s="1"/>
  <c r="AB57" i="9"/>
  <c r="AC57" i="9"/>
  <c r="AD57" i="9"/>
  <c r="AD85" i="9" s="1"/>
  <c r="AE57" i="9"/>
  <c r="AE85" i="9" s="1"/>
  <c r="AF57" i="9"/>
  <c r="AG57" i="9"/>
  <c r="AH57" i="9"/>
  <c r="AH85" i="9" s="1"/>
  <c r="AI57" i="9"/>
  <c r="AJ57" i="9"/>
  <c r="AK57" i="9"/>
  <c r="AL57" i="9"/>
  <c r="AL85" i="9" s="1"/>
  <c r="AM57" i="9"/>
  <c r="AN85" i="9" s="1"/>
  <c r="AN57" i="9"/>
  <c r="AO57" i="9"/>
  <c r="AP57" i="9"/>
  <c r="AP85" i="9" s="1"/>
  <c r="AQ57" i="9"/>
  <c r="AR57" i="9"/>
  <c r="AS57" i="9"/>
  <c r="AT57" i="9"/>
  <c r="AT85" i="9" s="1"/>
  <c r="AU57" i="9"/>
  <c r="AV85" i="9" s="1"/>
  <c r="D58" i="9"/>
  <c r="E58" i="9"/>
  <c r="F58" i="9"/>
  <c r="F86" i="9" s="1"/>
  <c r="G58" i="9"/>
  <c r="H58" i="9"/>
  <c r="I58" i="9"/>
  <c r="J58" i="9"/>
  <c r="K58" i="9"/>
  <c r="L58" i="9"/>
  <c r="M58" i="9"/>
  <c r="N58" i="9"/>
  <c r="N86" i="9" s="1"/>
  <c r="O58" i="9"/>
  <c r="P58" i="9"/>
  <c r="Q58" i="9"/>
  <c r="R58" i="9"/>
  <c r="S58" i="9"/>
  <c r="T58" i="9"/>
  <c r="U58" i="9"/>
  <c r="V58" i="9"/>
  <c r="V86" i="9" s="1"/>
  <c r="W58" i="9"/>
  <c r="X58" i="9"/>
  <c r="Y58" i="9"/>
  <c r="Z58" i="9"/>
  <c r="AA58" i="9"/>
  <c r="AB58" i="9"/>
  <c r="AC58" i="9"/>
  <c r="AD58" i="9"/>
  <c r="AD86" i="9" s="1"/>
  <c r="AE58" i="9"/>
  <c r="AF58" i="9"/>
  <c r="AG58" i="9"/>
  <c r="AH58" i="9"/>
  <c r="AI58" i="9"/>
  <c r="AJ58" i="9"/>
  <c r="AK58" i="9"/>
  <c r="AL58" i="9"/>
  <c r="AL86" i="9" s="1"/>
  <c r="AM58" i="9"/>
  <c r="AN58" i="9"/>
  <c r="AO58" i="9"/>
  <c r="AP58" i="9"/>
  <c r="AQ58" i="9"/>
  <c r="AR58" i="9"/>
  <c r="AS58" i="9"/>
  <c r="AT58" i="9"/>
  <c r="AT86" i="9" s="1"/>
  <c r="AU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T87" i="9" s="1"/>
  <c r="AU59" i="9"/>
  <c r="AU87" i="9" s="1"/>
  <c r="D60" i="9"/>
  <c r="E60" i="9"/>
  <c r="F60" i="9"/>
  <c r="F88" i="9" s="1"/>
  <c r="G60" i="9"/>
  <c r="G88" i="9" s="1"/>
  <c r="H60" i="9"/>
  <c r="I60" i="9"/>
  <c r="J60" i="9"/>
  <c r="J88" i="9" s="1"/>
  <c r="K60" i="9"/>
  <c r="L60" i="9"/>
  <c r="M60" i="9"/>
  <c r="N60" i="9"/>
  <c r="N88" i="9" s="1"/>
  <c r="O60" i="9"/>
  <c r="P88" i="9" s="1"/>
  <c r="P60" i="9"/>
  <c r="Q60" i="9"/>
  <c r="R60" i="9"/>
  <c r="R88" i="9" s="1"/>
  <c r="S60" i="9"/>
  <c r="S88" i="9" s="1"/>
  <c r="T60" i="9"/>
  <c r="U60" i="9"/>
  <c r="V60" i="9"/>
  <c r="V88" i="9" s="1"/>
  <c r="W60" i="9"/>
  <c r="X60" i="9"/>
  <c r="Y60" i="9"/>
  <c r="Z60" i="9"/>
  <c r="Z88" i="9" s="1"/>
  <c r="AA60" i="9"/>
  <c r="AA88" i="9" s="1"/>
  <c r="AB60" i="9"/>
  <c r="AC60" i="9"/>
  <c r="AD60" i="9"/>
  <c r="AD88" i="9" s="1"/>
  <c r="AE60" i="9"/>
  <c r="AF60" i="9"/>
  <c r="AG60" i="9"/>
  <c r="AH60" i="9"/>
  <c r="AH88" i="9" s="1"/>
  <c r="AI60" i="9"/>
  <c r="AJ88" i="9" s="1"/>
  <c r="AJ60" i="9"/>
  <c r="AK60" i="9"/>
  <c r="AL60" i="9"/>
  <c r="AL88" i="9" s="1"/>
  <c r="AM60" i="9"/>
  <c r="AN88" i="9" s="1"/>
  <c r="AN60" i="9"/>
  <c r="AO60" i="9"/>
  <c r="AP60" i="9"/>
  <c r="AP88" i="9" s="1"/>
  <c r="AQ60" i="9"/>
  <c r="AR60" i="9"/>
  <c r="AS60" i="9"/>
  <c r="AT60" i="9"/>
  <c r="AT88" i="9" s="1"/>
  <c r="AU60" i="9"/>
  <c r="AU88" i="9" s="1"/>
  <c r="D61" i="9"/>
  <c r="E61" i="9"/>
  <c r="F61" i="9"/>
  <c r="F89" i="9" s="1"/>
  <c r="G61" i="9"/>
  <c r="H89" i="9" s="1"/>
  <c r="H61" i="9"/>
  <c r="I61" i="9"/>
  <c r="J61" i="9"/>
  <c r="J89" i="9" s="1"/>
  <c r="K61" i="9"/>
  <c r="K89" i="9" s="1"/>
  <c r="L61" i="9"/>
  <c r="M61" i="9"/>
  <c r="N61" i="9"/>
  <c r="O61" i="9"/>
  <c r="P89" i="9" s="1"/>
  <c r="P61" i="9"/>
  <c r="Q61" i="9"/>
  <c r="R61" i="9"/>
  <c r="R89" i="9" s="1"/>
  <c r="S61" i="9"/>
  <c r="T89" i="9" s="1"/>
  <c r="T61" i="9"/>
  <c r="U61" i="9"/>
  <c r="V61" i="9"/>
  <c r="V89" i="9" s="1"/>
  <c r="W61" i="9"/>
  <c r="X61" i="9"/>
  <c r="Y61" i="9"/>
  <c r="Z61" i="9"/>
  <c r="AA61" i="9"/>
  <c r="AB61" i="9"/>
  <c r="AC61" i="9"/>
  <c r="AD61" i="9"/>
  <c r="AD89" i="9" s="1"/>
  <c r="AE61" i="9"/>
  <c r="AF61" i="9"/>
  <c r="AG61" i="9"/>
  <c r="AH61" i="9"/>
  <c r="AH89" i="9" s="1"/>
  <c r="AI61" i="9"/>
  <c r="AJ61" i="9"/>
  <c r="AK61" i="9"/>
  <c r="AL61" i="9"/>
  <c r="AL89" i="9" s="1"/>
  <c r="AM61" i="9"/>
  <c r="AN61" i="9"/>
  <c r="AO61" i="9"/>
  <c r="AP61" i="9"/>
  <c r="AP89" i="9" s="1"/>
  <c r="AQ61" i="9"/>
  <c r="AR61" i="9"/>
  <c r="AS61" i="9"/>
  <c r="AT61" i="9"/>
  <c r="AT89" i="9" s="1"/>
  <c r="AU61" i="9"/>
  <c r="D62" i="9"/>
  <c r="E62" i="9"/>
  <c r="F62" i="9"/>
  <c r="F90" i="9" s="1"/>
  <c r="G62" i="9"/>
  <c r="H62" i="9"/>
  <c r="I62" i="9"/>
  <c r="J62" i="9"/>
  <c r="J90" i="9" s="1"/>
  <c r="K62" i="9"/>
  <c r="L62" i="9"/>
  <c r="M62" i="9"/>
  <c r="N62" i="9"/>
  <c r="N90" i="9" s="1"/>
  <c r="O62" i="9"/>
  <c r="P62" i="9"/>
  <c r="Q62" i="9"/>
  <c r="R62" i="9"/>
  <c r="R90" i="9" s="1"/>
  <c r="S62" i="9"/>
  <c r="S90" i="9" s="1"/>
  <c r="T62" i="9"/>
  <c r="U62" i="9"/>
  <c r="V62" i="9"/>
  <c r="V90" i="9" s="1"/>
  <c r="W62" i="9"/>
  <c r="X62" i="9"/>
  <c r="Y62" i="9"/>
  <c r="Z62" i="9"/>
  <c r="Z90" i="9" s="1"/>
  <c r="AA62" i="9"/>
  <c r="AA90" i="9" s="1"/>
  <c r="AB62" i="9"/>
  <c r="AC62" i="9"/>
  <c r="AD62" i="9"/>
  <c r="AD90" i="9" s="1"/>
  <c r="AE62" i="9"/>
  <c r="AF62" i="9"/>
  <c r="AG62" i="9"/>
  <c r="AH62" i="9"/>
  <c r="AH90" i="9" s="1"/>
  <c r="AI62" i="9"/>
  <c r="AJ62" i="9"/>
  <c r="AK62" i="9"/>
  <c r="AL62" i="9"/>
  <c r="AL90" i="9" s="1"/>
  <c r="AM62" i="9"/>
  <c r="AN62" i="9"/>
  <c r="AO62" i="9"/>
  <c r="AP62" i="9"/>
  <c r="AP90" i="9" s="1"/>
  <c r="AQ62" i="9"/>
  <c r="AR62" i="9"/>
  <c r="AS62" i="9"/>
  <c r="AT62" i="9"/>
  <c r="AT90" i="9" s="1"/>
  <c r="AU62" i="9"/>
  <c r="D63" i="9"/>
  <c r="E63" i="9"/>
  <c r="F63" i="9"/>
  <c r="F91" i="9" s="1"/>
  <c r="G63" i="9"/>
  <c r="H63" i="9"/>
  <c r="I63" i="9"/>
  <c r="J63" i="9"/>
  <c r="J91" i="9" s="1"/>
  <c r="K63" i="9"/>
  <c r="L91" i="9" s="1"/>
  <c r="L63" i="9"/>
  <c r="M63" i="9"/>
  <c r="N63" i="9"/>
  <c r="N91" i="9" s="1"/>
  <c r="O63" i="9"/>
  <c r="O91" i="9" s="1"/>
  <c r="P63" i="9"/>
  <c r="Q63" i="9"/>
  <c r="R63" i="9"/>
  <c r="R91" i="9" s="1"/>
  <c r="S63" i="9"/>
  <c r="T63" i="9"/>
  <c r="U63" i="9"/>
  <c r="V63" i="9"/>
  <c r="V91" i="9" s="1"/>
  <c r="W63" i="9"/>
  <c r="X91" i="9" s="1"/>
  <c r="X63" i="9"/>
  <c r="Y63" i="9"/>
  <c r="Z63" i="9"/>
  <c r="Z91" i="9" s="1"/>
  <c r="AA63" i="9"/>
  <c r="AB63" i="9"/>
  <c r="AC63" i="9"/>
  <c r="AD63" i="9"/>
  <c r="AD91" i="9" s="1"/>
  <c r="AE63" i="9"/>
  <c r="AF91" i="9" s="1"/>
  <c r="AF63" i="9"/>
  <c r="AG63" i="9"/>
  <c r="AH63" i="9"/>
  <c r="AH91" i="9" s="1"/>
  <c r="AI63" i="9"/>
  <c r="AI91" i="9" s="1"/>
  <c r="AJ63" i="9"/>
  <c r="AK63" i="9"/>
  <c r="AL63" i="9"/>
  <c r="AL91" i="9" s="1"/>
  <c r="AM63" i="9"/>
  <c r="AN63" i="9"/>
  <c r="AO63" i="9"/>
  <c r="AP63" i="9"/>
  <c r="AP91" i="9" s="1"/>
  <c r="AQ63" i="9"/>
  <c r="AR91" i="9" s="1"/>
  <c r="AR63" i="9"/>
  <c r="AS63" i="9"/>
  <c r="AT63" i="9"/>
  <c r="AT91" i="9" s="1"/>
  <c r="AU63" i="9"/>
  <c r="AU91" i="9" s="1"/>
  <c r="D64" i="9"/>
  <c r="E64" i="9"/>
  <c r="F64" i="9"/>
  <c r="F92" i="9" s="1"/>
  <c r="G64" i="9"/>
  <c r="H92" i="9" s="1"/>
  <c r="H64" i="9"/>
  <c r="I64" i="9"/>
  <c r="J64" i="9"/>
  <c r="J92" i="9" s="1"/>
  <c r="K64" i="9"/>
  <c r="L64" i="9"/>
  <c r="M64" i="9"/>
  <c r="N64" i="9"/>
  <c r="N92" i="9" s="1"/>
  <c r="O64" i="9"/>
  <c r="P64" i="9"/>
  <c r="Q64" i="9"/>
  <c r="R64" i="9"/>
  <c r="R92" i="9" s="1"/>
  <c r="S64" i="9"/>
  <c r="T64" i="9"/>
  <c r="U64" i="9"/>
  <c r="V64" i="9"/>
  <c r="W64" i="9"/>
  <c r="X64" i="9"/>
  <c r="Y64" i="9"/>
  <c r="Z64" i="9"/>
  <c r="Z92" i="9" s="1"/>
  <c r="AA64" i="9"/>
  <c r="AB92" i="9" s="1"/>
  <c r="AB64" i="9"/>
  <c r="AC64" i="9"/>
  <c r="AD64" i="9"/>
  <c r="AD92" i="9" s="1"/>
  <c r="AE64" i="9"/>
  <c r="AF64" i="9"/>
  <c r="AG64" i="9"/>
  <c r="AH64" i="9"/>
  <c r="AI64" i="9"/>
  <c r="AJ92" i="9" s="1"/>
  <c r="AJ64" i="9"/>
  <c r="AK64" i="9"/>
  <c r="AL64" i="9"/>
  <c r="AL92" i="9" s="1"/>
  <c r="AM64" i="9"/>
  <c r="AN92" i="9" s="1"/>
  <c r="AN64" i="9"/>
  <c r="AO64" i="9"/>
  <c r="AP64" i="9"/>
  <c r="AP92" i="9" s="1"/>
  <c r="AQ64" i="9"/>
  <c r="AR64" i="9"/>
  <c r="AS64" i="9"/>
  <c r="AT64" i="9"/>
  <c r="AT92" i="9" s="1"/>
  <c r="AU64" i="9"/>
  <c r="D65" i="9"/>
  <c r="E65" i="9"/>
  <c r="F65" i="9"/>
  <c r="F93" i="9" s="1"/>
  <c r="G65" i="9"/>
  <c r="H65" i="9"/>
  <c r="I65" i="9"/>
  <c r="J65" i="9"/>
  <c r="J93" i="9" s="1"/>
  <c r="K65" i="9"/>
  <c r="L65" i="9"/>
  <c r="M65" i="9"/>
  <c r="N65" i="9"/>
  <c r="N93" i="9" s="1"/>
  <c r="O65" i="9"/>
  <c r="P65" i="9"/>
  <c r="Q65" i="9"/>
  <c r="R65" i="9"/>
  <c r="R93" i="9" s="1"/>
  <c r="S65" i="9"/>
  <c r="T65" i="9"/>
  <c r="U65" i="9"/>
  <c r="V65" i="9"/>
  <c r="V93" i="9" s="1"/>
  <c r="W65" i="9"/>
  <c r="X65" i="9"/>
  <c r="Y65" i="9"/>
  <c r="Z65" i="9"/>
  <c r="AA65" i="9"/>
  <c r="AB65" i="9"/>
  <c r="AC65" i="9"/>
  <c r="AD65" i="9"/>
  <c r="AD93" i="9" s="1"/>
  <c r="AE65" i="9"/>
  <c r="AF65" i="9"/>
  <c r="AG65" i="9"/>
  <c r="AH65" i="9"/>
  <c r="AI65" i="9"/>
  <c r="AJ65" i="9"/>
  <c r="AK65" i="9"/>
  <c r="AL65" i="9"/>
  <c r="AL93" i="9" s="1"/>
  <c r="AM65" i="9"/>
  <c r="AN65" i="9"/>
  <c r="AO65" i="9"/>
  <c r="AP65" i="9"/>
  <c r="AP93" i="9" s="1"/>
  <c r="AQ65" i="9"/>
  <c r="AR65" i="9"/>
  <c r="AS65" i="9"/>
  <c r="AT65" i="9"/>
  <c r="AT93" i="9" s="1"/>
  <c r="AU65" i="9"/>
  <c r="D66" i="9"/>
  <c r="E66" i="9"/>
  <c r="F66" i="9"/>
  <c r="F94" i="9" s="1"/>
  <c r="G66" i="9"/>
  <c r="H66" i="9"/>
  <c r="I66" i="9"/>
  <c r="J66" i="9"/>
  <c r="J94" i="9" s="1"/>
  <c r="K66" i="9"/>
  <c r="L66" i="9"/>
  <c r="M66" i="9"/>
  <c r="N66" i="9"/>
  <c r="N94" i="9" s="1"/>
  <c r="O66" i="9"/>
  <c r="O94" i="9" s="1"/>
  <c r="P66" i="9"/>
  <c r="Q66" i="9"/>
  <c r="R66" i="9"/>
  <c r="R94" i="9" s="1"/>
  <c r="S66" i="9"/>
  <c r="T66" i="9"/>
  <c r="U66" i="9"/>
  <c r="V66" i="9"/>
  <c r="V94" i="9" s="1"/>
  <c r="W66" i="9"/>
  <c r="W94" i="9" s="1"/>
  <c r="X66" i="9"/>
  <c r="Y66" i="9"/>
  <c r="Z66" i="9"/>
  <c r="Z94" i="9" s="1"/>
  <c r="AA66" i="9"/>
  <c r="AB66" i="9"/>
  <c r="AC66" i="9"/>
  <c r="AD66" i="9"/>
  <c r="AD94" i="9" s="1"/>
  <c r="AE66" i="9"/>
  <c r="AF66" i="9"/>
  <c r="AG66" i="9"/>
  <c r="AH66" i="9"/>
  <c r="AH94" i="9" s="1"/>
  <c r="AI66" i="9"/>
  <c r="AJ66" i="9"/>
  <c r="AK66" i="9"/>
  <c r="AL66" i="9"/>
  <c r="AL94" i="9" s="1"/>
  <c r="AM66" i="9"/>
  <c r="AN66" i="9"/>
  <c r="AO66" i="9"/>
  <c r="AP66" i="9"/>
  <c r="AP94" i="9" s="1"/>
  <c r="AQ66" i="9"/>
  <c r="AR66" i="9"/>
  <c r="AS66" i="9"/>
  <c r="AT66" i="9"/>
  <c r="AT94" i="9" s="1"/>
  <c r="AU66" i="9"/>
  <c r="AU94" i="9" s="1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P95" i="9" s="1"/>
  <c r="AQ67" i="9"/>
  <c r="AR95" i="9" s="1"/>
  <c r="AR67" i="9"/>
  <c r="AS67" i="9"/>
  <c r="AT67" i="9"/>
  <c r="AT95" i="9" s="1"/>
  <c r="AU67" i="9"/>
  <c r="D68" i="9"/>
  <c r="E68" i="9"/>
  <c r="F68" i="9"/>
  <c r="F96" i="9" s="1"/>
  <c r="G68" i="9"/>
  <c r="H68" i="9"/>
  <c r="I68" i="9"/>
  <c r="J68" i="9"/>
  <c r="J96" i="9" s="1"/>
  <c r="K68" i="9"/>
  <c r="L96" i="9" s="1"/>
  <c r="L68" i="9"/>
  <c r="M68" i="9"/>
  <c r="N68" i="9"/>
  <c r="N96" i="9" s="1"/>
  <c r="O68" i="9"/>
  <c r="P68" i="9"/>
  <c r="Q68" i="9"/>
  <c r="R68" i="9"/>
  <c r="R96" i="9" s="1"/>
  <c r="S68" i="9"/>
  <c r="T96" i="9" s="1"/>
  <c r="T68" i="9"/>
  <c r="U68" i="9"/>
  <c r="V68" i="9"/>
  <c r="V96" i="9" s="1"/>
  <c r="W68" i="9"/>
  <c r="X68" i="9"/>
  <c r="Y68" i="9"/>
  <c r="Z68" i="9"/>
  <c r="AA68" i="9"/>
  <c r="AB68" i="9"/>
  <c r="AC68" i="9"/>
  <c r="AD68" i="9"/>
  <c r="AD96" i="9" s="1"/>
  <c r="AE68" i="9"/>
  <c r="AF96" i="9" s="1"/>
  <c r="AF68" i="9"/>
  <c r="AG68" i="9"/>
  <c r="AH68" i="9"/>
  <c r="AH96" i="9" s="1"/>
  <c r="AI68" i="9"/>
  <c r="AJ68" i="9"/>
  <c r="AK68" i="9"/>
  <c r="AL68" i="9"/>
  <c r="AL96" i="9" s="1"/>
  <c r="AM68" i="9"/>
  <c r="AN68" i="9"/>
  <c r="AO68" i="9"/>
  <c r="AP68" i="9"/>
  <c r="AP96" i="9" s="1"/>
  <c r="AQ68" i="9"/>
  <c r="AR96" i="9" s="1"/>
  <c r="AR68" i="9"/>
  <c r="AS68" i="9"/>
  <c r="AT68" i="9"/>
  <c r="AT96" i="9" s="1"/>
  <c r="AU68" i="9"/>
  <c r="AU96" i="9" s="1"/>
  <c r="D69" i="9"/>
  <c r="E69" i="9"/>
  <c r="F69" i="9"/>
  <c r="F97" i="9" s="1"/>
  <c r="G69" i="9"/>
  <c r="H69" i="9"/>
  <c r="I69" i="9"/>
  <c r="J69" i="9"/>
  <c r="J97" i="9" s="1"/>
  <c r="K69" i="9"/>
  <c r="L97" i="9" s="1"/>
  <c r="L69" i="9"/>
  <c r="M69" i="9"/>
  <c r="N69" i="9"/>
  <c r="N97" i="9" s="1"/>
  <c r="O69" i="9"/>
  <c r="P69" i="9"/>
  <c r="Q69" i="9"/>
  <c r="R69" i="9"/>
  <c r="R97" i="9" s="1"/>
  <c r="S69" i="9"/>
  <c r="T69" i="9"/>
  <c r="U69" i="9"/>
  <c r="V69" i="9"/>
  <c r="V97" i="9" s="1"/>
  <c r="W69" i="9"/>
  <c r="X69" i="9"/>
  <c r="Y69" i="9"/>
  <c r="Z69" i="9"/>
  <c r="Z97" i="9" s="1"/>
  <c r="AA69" i="9"/>
  <c r="AB69" i="9"/>
  <c r="AC69" i="9"/>
  <c r="AD69" i="9"/>
  <c r="AD97" i="9" s="1"/>
  <c r="AE69" i="9"/>
  <c r="AF69" i="9"/>
  <c r="AG69" i="9"/>
  <c r="AH69" i="9"/>
  <c r="AH97" i="9" s="1"/>
  <c r="AI69" i="9"/>
  <c r="AJ97" i="9" s="1"/>
  <c r="AJ69" i="9"/>
  <c r="AK69" i="9"/>
  <c r="AL69" i="9"/>
  <c r="AL97" i="9" s="1"/>
  <c r="AM69" i="9"/>
  <c r="AN69" i="9"/>
  <c r="AO69" i="9"/>
  <c r="AP69" i="9"/>
  <c r="AP97" i="9" s="1"/>
  <c r="AQ69" i="9"/>
  <c r="AR97" i="9" s="1"/>
  <c r="AR69" i="9"/>
  <c r="AS69" i="9"/>
  <c r="AT69" i="9"/>
  <c r="AT97" i="9" s="1"/>
  <c r="AU69" i="9"/>
  <c r="D70" i="9"/>
  <c r="E70" i="9"/>
  <c r="F70" i="9"/>
  <c r="F98" i="9" s="1"/>
  <c r="G70" i="9"/>
  <c r="H70" i="9"/>
  <c r="I70" i="9"/>
  <c r="J70" i="9"/>
  <c r="J98" i="9" s="1"/>
  <c r="K70" i="9"/>
  <c r="L70" i="9"/>
  <c r="M70" i="9"/>
  <c r="N70" i="9"/>
  <c r="N98" i="9" s="1"/>
  <c r="O70" i="9"/>
  <c r="P70" i="9"/>
  <c r="Q70" i="9"/>
  <c r="R70" i="9"/>
  <c r="S70" i="9"/>
  <c r="T70" i="9"/>
  <c r="U70" i="9"/>
  <c r="V70" i="9"/>
  <c r="V98" i="9" s="1"/>
  <c r="W70" i="9"/>
  <c r="X70" i="9"/>
  <c r="Y70" i="9"/>
  <c r="Z70" i="9"/>
  <c r="Z98" i="9" s="1"/>
  <c r="AA70" i="9"/>
  <c r="AB70" i="9"/>
  <c r="AC70" i="9"/>
  <c r="AD70" i="9"/>
  <c r="AD98" i="9" s="1"/>
  <c r="AE70" i="9"/>
  <c r="AF70" i="9"/>
  <c r="AG70" i="9"/>
  <c r="AH70" i="9"/>
  <c r="AH98" i="9" s="1"/>
  <c r="AI70" i="9"/>
  <c r="AJ70" i="9"/>
  <c r="AK70" i="9"/>
  <c r="AL70" i="9"/>
  <c r="AL98" i="9" s="1"/>
  <c r="AM70" i="9"/>
  <c r="AN70" i="9"/>
  <c r="AO70" i="9"/>
  <c r="AP70" i="9"/>
  <c r="AP98" i="9" s="1"/>
  <c r="AQ70" i="9"/>
  <c r="AR98" i="9" s="1"/>
  <c r="AR70" i="9"/>
  <c r="AS70" i="9"/>
  <c r="AS98" i="9" s="1"/>
  <c r="AT70" i="9"/>
  <c r="AT98" i="9" s="1"/>
  <c r="AU70" i="9"/>
  <c r="C70" i="9"/>
  <c r="C69" i="9"/>
  <c r="C68" i="9"/>
  <c r="D96" i="9" s="1"/>
  <c r="C67" i="9"/>
  <c r="C66" i="9"/>
  <c r="C65" i="9"/>
  <c r="C64" i="9"/>
  <c r="D92" i="9" s="1"/>
  <c r="C63" i="9"/>
  <c r="D91" i="9" s="1"/>
  <c r="C62" i="9"/>
  <c r="C61" i="9"/>
  <c r="C60" i="9"/>
  <c r="D88" i="9" s="1"/>
  <c r="C59" i="9"/>
  <c r="C58" i="9"/>
  <c r="C57" i="9"/>
  <c r="C56" i="9"/>
  <c r="D84" i="9" s="1"/>
  <c r="C55" i="9"/>
  <c r="D83" i="9" s="1"/>
  <c r="C54" i="9"/>
  <c r="C53" i="9"/>
  <c r="C52" i="9"/>
  <c r="C51" i="9"/>
  <c r="C50" i="9"/>
  <c r="C49" i="9"/>
  <c r="C48" i="9"/>
  <c r="D76" i="9" s="1"/>
  <c r="C47" i="9"/>
  <c r="D75" i="9" s="1"/>
  <c r="D20" i="9"/>
  <c r="E20" i="9"/>
  <c r="F20" i="9"/>
  <c r="F36" i="9" s="1"/>
  <c r="G20" i="9"/>
  <c r="H36" i="9" s="1"/>
  <c r="H20" i="9"/>
  <c r="I20" i="9"/>
  <c r="J20" i="9"/>
  <c r="J36" i="9" s="1"/>
  <c r="K20" i="9"/>
  <c r="L20" i="9"/>
  <c r="M20" i="9"/>
  <c r="N20" i="9"/>
  <c r="N36" i="9" s="1"/>
  <c r="O20" i="9"/>
  <c r="O21" i="9" s="1"/>
  <c r="P20" i="9"/>
  <c r="Q20" i="9"/>
  <c r="R20" i="9"/>
  <c r="R36" i="9" s="1"/>
  <c r="S20" i="9"/>
  <c r="T36" i="9" s="1"/>
  <c r="T20" i="9"/>
  <c r="U20" i="9"/>
  <c r="V20" i="9"/>
  <c r="W20" i="9"/>
  <c r="X36" i="9" s="1"/>
  <c r="X20" i="9"/>
  <c r="Y20" i="9"/>
  <c r="Z20" i="9"/>
  <c r="Z36" i="9" s="1"/>
  <c r="AA20" i="9"/>
  <c r="AB20" i="9"/>
  <c r="AC20" i="9"/>
  <c r="AD20" i="9"/>
  <c r="AE20" i="9"/>
  <c r="AE21" i="9" s="1"/>
  <c r="AF20" i="9"/>
  <c r="AG20" i="9"/>
  <c r="AH20" i="9"/>
  <c r="AH36" i="9" s="1"/>
  <c r="AI20" i="9"/>
  <c r="AJ36" i="9" s="1"/>
  <c r="AJ20" i="9"/>
  <c r="AK20" i="9"/>
  <c r="AL20" i="9"/>
  <c r="AL36" i="9" s="1"/>
  <c r="AM20" i="9"/>
  <c r="AN36" i="9" s="1"/>
  <c r="AN20" i="9"/>
  <c r="AO20" i="9"/>
  <c r="AP20" i="9"/>
  <c r="AP36" i="9" s="1"/>
  <c r="AQ20" i="9"/>
  <c r="AR36" i="9" s="1"/>
  <c r="AR20" i="9"/>
  <c r="AS20" i="9"/>
  <c r="AT20" i="9"/>
  <c r="AT36" i="9" s="1"/>
  <c r="AU20" i="9"/>
  <c r="AU21" i="9" s="1"/>
  <c r="AV20" i="9"/>
  <c r="D18" i="9"/>
  <c r="E18" i="9"/>
  <c r="E34" i="9" s="1"/>
  <c r="F18" i="9"/>
  <c r="F34" i="9" s="1"/>
  <c r="G18" i="9"/>
  <c r="H18" i="9"/>
  <c r="I18" i="9"/>
  <c r="J18" i="9"/>
  <c r="J34" i="9" s="1"/>
  <c r="K18" i="9"/>
  <c r="L18" i="9"/>
  <c r="M18" i="9"/>
  <c r="M34" i="9" s="1"/>
  <c r="N18" i="9"/>
  <c r="N19" i="9" s="1"/>
  <c r="O18" i="9"/>
  <c r="P18" i="9"/>
  <c r="Q18" i="9"/>
  <c r="Q34" i="9" s="1"/>
  <c r="R18" i="9"/>
  <c r="S18" i="9"/>
  <c r="T18" i="9"/>
  <c r="U18" i="9"/>
  <c r="V18" i="9"/>
  <c r="V34" i="9" s="1"/>
  <c r="W18" i="9"/>
  <c r="X18" i="9"/>
  <c r="Y18" i="9"/>
  <c r="Y34" i="9" s="1"/>
  <c r="Z18" i="9"/>
  <c r="Z34" i="9" s="1"/>
  <c r="AA18" i="9"/>
  <c r="AB18" i="9"/>
  <c r="AC18" i="9"/>
  <c r="AC34" i="9" s="1"/>
  <c r="AD18" i="9"/>
  <c r="AD19" i="9" s="1"/>
  <c r="AE18" i="9"/>
  <c r="AF18" i="9"/>
  <c r="AG18" i="9"/>
  <c r="AG34" i="9" s="1"/>
  <c r="AH18" i="9"/>
  <c r="AI18" i="9"/>
  <c r="AJ18" i="9"/>
  <c r="AK18" i="9"/>
  <c r="AK34" i="9" s="1"/>
  <c r="AL18" i="9"/>
  <c r="AL34" i="9" s="1"/>
  <c r="AM18" i="9"/>
  <c r="AN18" i="9"/>
  <c r="AO18" i="9"/>
  <c r="AP18" i="9"/>
  <c r="AP34" i="9" s="1"/>
  <c r="AQ18" i="9"/>
  <c r="AR18" i="9"/>
  <c r="AS18" i="9"/>
  <c r="AS34" i="9" s="1"/>
  <c r="AT18" i="9"/>
  <c r="AT19" i="9" s="1"/>
  <c r="AU18" i="9"/>
  <c r="AV18" i="9"/>
  <c r="D15" i="9"/>
  <c r="D19" i="9" s="1"/>
  <c r="E15" i="9"/>
  <c r="F31" i="9" s="1"/>
  <c r="F15" i="9"/>
  <c r="G15" i="9"/>
  <c r="H15" i="9"/>
  <c r="H19" i="9" s="1"/>
  <c r="I15" i="9"/>
  <c r="I26" i="9" s="1"/>
  <c r="J15" i="9"/>
  <c r="K15" i="9"/>
  <c r="L15" i="9"/>
  <c r="L21" i="9" s="1"/>
  <c r="M15" i="9"/>
  <c r="M21" i="9" s="1"/>
  <c r="N15" i="9"/>
  <c r="O15" i="9"/>
  <c r="P15" i="9"/>
  <c r="P21" i="9" s="1"/>
  <c r="Q15" i="9"/>
  <c r="R15" i="9"/>
  <c r="S15" i="9"/>
  <c r="T15" i="9"/>
  <c r="T21" i="9" s="1"/>
  <c r="U15" i="9"/>
  <c r="V31" i="9" s="1"/>
  <c r="V15" i="9"/>
  <c r="W15" i="9"/>
  <c r="X15" i="9"/>
  <c r="X19" i="9" s="1"/>
  <c r="Y15" i="9"/>
  <c r="Z15" i="9"/>
  <c r="AA15" i="9"/>
  <c r="AB15" i="9"/>
  <c r="AB19" i="9" s="1"/>
  <c r="AC15" i="9"/>
  <c r="AC31" i="9" s="1"/>
  <c r="AD15" i="9"/>
  <c r="AE15" i="9"/>
  <c r="AF15" i="9"/>
  <c r="AF21" i="9" s="1"/>
  <c r="AG15" i="9"/>
  <c r="AH15" i="9"/>
  <c r="AI15" i="9"/>
  <c r="AJ15" i="9"/>
  <c r="AJ19" i="9" s="1"/>
  <c r="AK15" i="9"/>
  <c r="AK19" i="9" s="1"/>
  <c r="AL15" i="9"/>
  <c r="AM15" i="9"/>
  <c r="AN15" i="9"/>
  <c r="AN21" i="9" s="1"/>
  <c r="AO15" i="9"/>
  <c r="AP15" i="9"/>
  <c r="AQ15" i="9"/>
  <c r="AR15" i="9"/>
  <c r="AR21" i="9" s="1"/>
  <c r="AS15" i="9"/>
  <c r="AT15" i="9"/>
  <c r="AU15" i="9"/>
  <c r="AV15" i="9"/>
  <c r="AV21" i="9" s="1"/>
  <c r="D16" i="9"/>
  <c r="E16" i="9"/>
  <c r="F16" i="9"/>
  <c r="G16" i="9"/>
  <c r="H16" i="9"/>
  <c r="H32" i="9" s="1"/>
  <c r="I16" i="9"/>
  <c r="J16" i="9"/>
  <c r="K16" i="9"/>
  <c r="K17" i="9" s="1"/>
  <c r="L16" i="9"/>
  <c r="M16" i="9"/>
  <c r="N16" i="9"/>
  <c r="O16" i="9"/>
  <c r="O17" i="9" s="1"/>
  <c r="P16" i="9"/>
  <c r="P32" i="9" s="1"/>
  <c r="Q16" i="9"/>
  <c r="R16" i="9"/>
  <c r="S16" i="9"/>
  <c r="S17" i="9" s="1"/>
  <c r="T16" i="9"/>
  <c r="U16" i="9"/>
  <c r="V16" i="9"/>
  <c r="W16" i="9"/>
  <c r="W17" i="9" s="1"/>
  <c r="X16" i="9"/>
  <c r="X32" i="9" s="1"/>
  <c r="Y16" i="9"/>
  <c r="Z16" i="9"/>
  <c r="AA16" i="9"/>
  <c r="AA17" i="9" s="1"/>
  <c r="AB16" i="9"/>
  <c r="AC16" i="9"/>
  <c r="AD16" i="9"/>
  <c r="AE16" i="9"/>
  <c r="AF16" i="9"/>
  <c r="AF32" i="9" s="1"/>
  <c r="AG16" i="9"/>
  <c r="AH16" i="9"/>
  <c r="AI16" i="9"/>
  <c r="AI17" i="9" s="1"/>
  <c r="AJ16" i="9"/>
  <c r="AK16" i="9"/>
  <c r="AL16" i="9"/>
  <c r="AM16" i="9"/>
  <c r="AN16" i="9"/>
  <c r="AN32" i="9" s="1"/>
  <c r="AO16" i="9"/>
  <c r="AP16" i="9"/>
  <c r="AQ16" i="9"/>
  <c r="AQ17" i="9" s="1"/>
  <c r="AR16" i="9"/>
  <c r="AS16" i="9"/>
  <c r="AT16" i="9"/>
  <c r="AU16" i="9"/>
  <c r="AU17" i="9" s="1"/>
  <c r="AV16" i="9"/>
  <c r="AV32" i="9" s="1"/>
  <c r="D22" i="9"/>
  <c r="E22" i="9"/>
  <c r="F22" i="9"/>
  <c r="F38" i="9" s="1"/>
  <c r="G22" i="9"/>
  <c r="H22" i="9"/>
  <c r="I22" i="9"/>
  <c r="J22" i="9"/>
  <c r="J38" i="9" s="1"/>
  <c r="K22" i="9"/>
  <c r="L38" i="9" s="1"/>
  <c r="L22" i="9"/>
  <c r="M22" i="9"/>
  <c r="N22" i="9"/>
  <c r="N38" i="9" s="1"/>
  <c r="O22" i="9"/>
  <c r="P22" i="9"/>
  <c r="Q22" i="9"/>
  <c r="R22" i="9"/>
  <c r="R38" i="9" s="1"/>
  <c r="S22" i="9"/>
  <c r="T38" i="9" s="1"/>
  <c r="T22" i="9"/>
  <c r="U22" i="9"/>
  <c r="V22" i="9"/>
  <c r="V38" i="9" s="1"/>
  <c r="W22" i="9"/>
  <c r="X22" i="9"/>
  <c r="Y22" i="9"/>
  <c r="Z22" i="9"/>
  <c r="Z38" i="9" s="1"/>
  <c r="AA22" i="9"/>
  <c r="AB38" i="9" s="1"/>
  <c r="AB22" i="9"/>
  <c r="AC22" i="9"/>
  <c r="AD22" i="9"/>
  <c r="AD38" i="9" s="1"/>
  <c r="AE22" i="9"/>
  <c r="AF22" i="9"/>
  <c r="AG22" i="9"/>
  <c r="AH22" i="9"/>
  <c r="AH38" i="9" s="1"/>
  <c r="AI22" i="9"/>
  <c r="AJ38" i="9" s="1"/>
  <c r="AJ22" i="9"/>
  <c r="AK22" i="9"/>
  <c r="AL22" i="9"/>
  <c r="AL38" i="9" s="1"/>
  <c r="AM22" i="9"/>
  <c r="AN22" i="9"/>
  <c r="AO22" i="9"/>
  <c r="AP22" i="9"/>
  <c r="AP38" i="9" s="1"/>
  <c r="AQ22" i="9"/>
  <c r="AR38" i="9" s="1"/>
  <c r="AR22" i="9"/>
  <c r="AS22" i="9"/>
  <c r="AT22" i="9"/>
  <c r="AT38" i="9" s="1"/>
  <c r="AU22" i="9"/>
  <c r="AU38" i="9" s="1"/>
  <c r="AV22" i="9"/>
  <c r="D23" i="9"/>
  <c r="E23" i="9"/>
  <c r="E39" i="9" s="1"/>
  <c r="F23" i="9"/>
  <c r="G23" i="9"/>
  <c r="H23" i="9"/>
  <c r="I23" i="9"/>
  <c r="I39" i="9" s="1"/>
  <c r="J23" i="9"/>
  <c r="J39" i="9" s="1"/>
  <c r="K23" i="9"/>
  <c r="L23" i="9"/>
  <c r="M23" i="9"/>
  <c r="M39" i="9" s="1"/>
  <c r="N23" i="9"/>
  <c r="O23" i="9"/>
  <c r="P23" i="9"/>
  <c r="Q23" i="9"/>
  <c r="Q39" i="9" s="1"/>
  <c r="R23" i="9"/>
  <c r="R39" i="9" s="1"/>
  <c r="S23" i="9"/>
  <c r="T23" i="9"/>
  <c r="U23" i="9"/>
  <c r="U39" i="9" s="1"/>
  <c r="V23" i="9"/>
  <c r="W23" i="9"/>
  <c r="X23" i="9"/>
  <c r="Y23" i="9"/>
  <c r="Y39" i="9" s="1"/>
  <c r="Z23" i="9"/>
  <c r="Z39" i="9" s="1"/>
  <c r="AA23" i="9"/>
  <c r="AB23" i="9"/>
  <c r="AC23" i="9"/>
  <c r="AC39" i="9" s="1"/>
  <c r="AD23" i="9"/>
  <c r="AE23" i="9"/>
  <c r="AF23" i="9"/>
  <c r="AG23" i="9"/>
  <c r="AG39" i="9" s="1"/>
  <c r="AH23" i="9"/>
  <c r="AH39" i="9" s="1"/>
  <c r="AI23" i="9"/>
  <c r="AJ23" i="9"/>
  <c r="AK23" i="9"/>
  <c r="AK39" i="9" s="1"/>
  <c r="AL23" i="9"/>
  <c r="AM23" i="9"/>
  <c r="AN23" i="9"/>
  <c r="AO23" i="9"/>
  <c r="AO39" i="9" s="1"/>
  <c r="AP23" i="9"/>
  <c r="AP39" i="9" s="1"/>
  <c r="AQ23" i="9"/>
  <c r="AR23" i="9"/>
  <c r="AS23" i="9"/>
  <c r="AS39" i="9" s="1"/>
  <c r="AT23" i="9"/>
  <c r="AU23" i="9"/>
  <c r="AV23" i="9"/>
  <c r="D24" i="9"/>
  <c r="D40" i="9" s="1"/>
  <c r="E24" i="9"/>
  <c r="E40" i="9" s="1"/>
  <c r="F24" i="9"/>
  <c r="G24" i="9"/>
  <c r="H24" i="9"/>
  <c r="H40" i="9" s="1"/>
  <c r="I24" i="9"/>
  <c r="J24" i="9"/>
  <c r="K24" i="9"/>
  <c r="L24" i="9"/>
  <c r="L40" i="9" s="1"/>
  <c r="M24" i="9"/>
  <c r="M40" i="9" s="1"/>
  <c r="N24" i="9"/>
  <c r="O24" i="9"/>
  <c r="P24" i="9"/>
  <c r="P40" i="9" s="1"/>
  <c r="Q24" i="9"/>
  <c r="R24" i="9"/>
  <c r="S24" i="9"/>
  <c r="T24" i="9"/>
  <c r="T40" i="9" s="1"/>
  <c r="U24" i="9"/>
  <c r="U40" i="9" s="1"/>
  <c r="V24" i="9"/>
  <c r="W24" i="9"/>
  <c r="X24" i="9"/>
  <c r="X40" i="9" s="1"/>
  <c r="Y24" i="9"/>
  <c r="Z24" i="9"/>
  <c r="AA24" i="9"/>
  <c r="AB24" i="9"/>
  <c r="AB40" i="9" s="1"/>
  <c r="AC24" i="9"/>
  <c r="AC40" i="9" s="1"/>
  <c r="AD24" i="9"/>
  <c r="AE24" i="9"/>
  <c r="AF24" i="9"/>
  <c r="AF40" i="9" s="1"/>
  <c r="AG24" i="9"/>
  <c r="AH24" i="9"/>
  <c r="AI24" i="9"/>
  <c r="AJ24" i="9"/>
  <c r="AJ40" i="9" s="1"/>
  <c r="AK24" i="9"/>
  <c r="AK40" i="9" s="1"/>
  <c r="AL24" i="9"/>
  <c r="AM24" i="9"/>
  <c r="AN24" i="9"/>
  <c r="AN40" i="9" s="1"/>
  <c r="AO24" i="9"/>
  <c r="AP24" i="9"/>
  <c r="AQ24" i="9"/>
  <c r="AR24" i="9"/>
  <c r="AR40" i="9" s="1"/>
  <c r="AS24" i="9"/>
  <c r="AT40" i="9" s="1"/>
  <c r="AT24" i="9"/>
  <c r="AU24" i="9"/>
  <c r="AV24" i="9"/>
  <c r="AV40" i="9" s="1"/>
  <c r="D25" i="9"/>
  <c r="D41" i="9" s="1"/>
  <c r="E25" i="9"/>
  <c r="F25" i="9"/>
  <c r="G25" i="9"/>
  <c r="G41" i="9" s="1"/>
  <c r="H25" i="9"/>
  <c r="H26" i="9" s="1"/>
  <c r="I25" i="9"/>
  <c r="J25" i="9"/>
  <c r="K25" i="9"/>
  <c r="K41" i="9" s="1"/>
  <c r="L25" i="9"/>
  <c r="L41" i="9" s="1"/>
  <c r="M25" i="9"/>
  <c r="N25" i="9"/>
  <c r="O25" i="9"/>
  <c r="O41" i="9" s="1"/>
  <c r="P25" i="9"/>
  <c r="P26" i="9" s="1"/>
  <c r="Q25" i="9"/>
  <c r="R25" i="9"/>
  <c r="S25" i="9"/>
  <c r="S41" i="9" s="1"/>
  <c r="T25" i="9"/>
  <c r="T41" i="9" s="1"/>
  <c r="U25" i="9"/>
  <c r="V25" i="9"/>
  <c r="W25" i="9"/>
  <c r="W41" i="9" s="1"/>
  <c r="X25" i="9"/>
  <c r="X26" i="9" s="1"/>
  <c r="Y25" i="9"/>
  <c r="Z25" i="9"/>
  <c r="AA25" i="9"/>
  <c r="AA41" i="9" s="1"/>
  <c r="AB25" i="9"/>
  <c r="AB41" i="9" s="1"/>
  <c r="AC25" i="9"/>
  <c r="AD25" i="9"/>
  <c r="AE25" i="9"/>
  <c r="AE41" i="9" s="1"/>
  <c r="AF25" i="9"/>
  <c r="AF26" i="9" s="1"/>
  <c r="AG25" i="9"/>
  <c r="AH25" i="9"/>
  <c r="AI25" i="9"/>
  <c r="AI26" i="9" s="1"/>
  <c r="AJ25" i="9"/>
  <c r="AJ41" i="9" s="1"/>
  <c r="AK25" i="9"/>
  <c r="AL25" i="9"/>
  <c r="AM25" i="9"/>
  <c r="AN25" i="9"/>
  <c r="AN41" i="9" s="1"/>
  <c r="AO25" i="9"/>
  <c r="AP25" i="9"/>
  <c r="AQ25" i="9"/>
  <c r="AR25" i="9"/>
  <c r="AS25" i="9"/>
  <c r="AT25" i="9"/>
  <c r="AU25" i="9"/>
  <c r="AU41" i="9" s="1"/>
  <c r="AV25" i="9"/>
  <c r="C25" i="9"/>
  <c r="C24" i="9"/>
  <c r="C23" i="9"/>
  <c r="D39" i="9" s="1"/>
  <c r="C22" i="9"/>
  <c r="D38" i="9" s="1"/>
  <c r="C20" i="9"/>
  <c r="C18" i="9"/>
  <c r="C16" i="9"/>
  <c r="C15" i="9"/>
  <c r="AO98" i="9"/>
  <c r="AK98" i="9"/>
  <c r="AG98" i="9"/>
  <c r="AC98" i="9"/>
  <c r="Y98" i="9"/>
  <c r="U98" i="9"/>
  <c r="R98" i="9"/>
  <c r="Q98" i="9"/>
  <c r="M98" i="9"/>
  <c r="I98" i="9"/>
  <c r="E98" i="9"/>
  <c r="D98" i="9"/>
  <c r="AS97" i="9"/>
  <c r="AO97" i="9"/>
  <c r="AK97" i="9"/>
  <c r="AG97" i="9"/>
  <c r="AC97" i="9"/>
  <c r="Y97" i="9"/>
  <c r="U97" i="9"/>
  <c r="Q97" i="9"/>
  <c r="M97" i="9"/>
  <c r="I97" i="9"/>
  <c r="E97" i="9"/>
  <c r="D97" i="9"/>
  <c r="AS96" i="9"/>
  <c r="AO96" i="9"/>
  <c r="AK96" i="9"/>
  <c r="AG96" i="9"/>
  <c r="AC96" i="9"/>
  <c r="Z96" i="9"/>
  <c r="Y96" i="9"/>
  <c r="U96" i="9"/>
  <c r="Q96" i="9"/>
  <c r="M96" i="9"/>
  <c r="I96" i="9"/>
  <c r="E96" i="9"/>
  <c r="AS95" i="9"/>
  <c r="AO95" i="9"/>
  <c r="AS94" i="9"/>
  <c r="AO94" i="9"/>
  <c r="AK94" i="9"/>
  <c r="AG94" i="9"/>
  <c r="AC94" i="9"/>
  <c r="Y94" i="9"/>
  <c r="U94" i="9"/>
  <c r="Q94" i="9"/>
  <c r="M94" i="9"/>
  <c r="I94" i="9"/>
  <c r="E94" i="9"/>
  <c r="D94" i="9"/>
  <c r="AS93" i="9"/>
  <c r="AO93" i="9"/>
  <c r="AK93" i="9"/>
  <c r="AH93" i="9"/>
  <c r="AG93" i="9"/>
  <c r="AC93" i="9"/>
  <c r="Z93" i="9"/>
  <c r="Y93" i="9"/>
  <c r="U93" i="9"/>
  <c r="Q93" i="9"/>
  <c r="M93" i="9"/>
  <c r="I93" i="9"/>
  <c r="E93" i="9"/>
  <c r="D93" i="9"/>
  <c r="AS92" i="9"/>
  <c r="AO92" i="9"/>
  <c r="AK92" i="9"/>
  <c r="AH92" i="9"/>
  <c r="AG92" i="9"/>
  <c r="AC92" i="9"/>
  <c r="Y92" i="9"/>
  <c r="V92" i="9"/>
  <c r="U92" i="9"/>
  <c r="Q92" i="9"/>
  <c r="M92" i="9"/>
  <c r="I92" i="9"/>
  <c r="E92" i="9"/>
  <c r="AS91" i="9"/>
  <c r="AO91" i="9"/>
  <c r="AK91" i="9"/>
  <c r="AG91" i="9"/>
  <c r="AC91" i="9"/>
  <c r="Y91" i="9"/>
  <c r="U91" i="9"/>
  <c r="Q91" i="9"/>
  <c r="M91" i="9"/>
  <c r="I91" i="9"/>
  <c r="E91" i="9"/>
  <c r="AS90" i="9"/>
  <c r="AO90" i="9"/>
  <c r="AK90" i="9"/>
  <c r="AG90" i="9"/>
  <c r="AC90" i="9"/>
  <c r="Y90" i="9"/>
  <c r="U90" i="9"/>
  <c r="Q90" i="9"/>
  <c r="M90" i="9"/>
  <c r="I90" i="9"/>
  <c r="E90" i="9"/>
  <c r="D90" i="9"/>
  <c r="AS89" i="9"/>
  <c r="AO89" i="9"/>
  <c r="AK89" i="9"/>
  <c r="AG89" i="9"/>
  <c r="AC89" i="9"/>
  <c r="Z89" i="9"/>
  <c r="Y89" i="9"/>
  <c r="U89" i="9"/>
  <c r="Q89" i="9"/>
  <c r="M89" i="9"/>
  <c r="I89" i="9"/>
  <c r="E89" i="9"/>
  <c r="D89" i="9"/>
  <c r="AS88" i="9"/>
  <c r="AO88" i="9"/>
  <c r="AK88" i="9"/>
  <c r="AG88" i="9"/>
  <c r="AC88" i="9"/>
  <c r="Y88" i="9"/>
  <c r="U88" i="9"/>
  <c r="Q88" i="9"/>
  <c r="M88" i="9"/>
  <c r="I88" i="9"/>
  <c r="E88" i="9"/>
  <c r="AS87" i="9"/>
  <c r="AP87" i="9"/>
  <c r="AO87" i="9"/>
  <c r="AS86" i="9"/>
  <c r="AP86" i="9"/>
  <c r="AO86" i="9"/>
  <c r="AK86" i="9"/>
  <c r="AH86" i="9"/>
  <c r="AG86" i="9"/>
  <c r="AC86" i="9"/>
  <c r="Z86" i="9"/>
  <c r="Y86" i="9"/>
  <c r="U86" i="9"/>
  <c r="R86" i="9"/>
  <c r="Q86" i="9"/>
  <c r="M86" i="9"/>
  <c r="J86" i="9"/>
  <c r="I86" i="9"/>
  <c r="E86" i="9"/>
  <c r="D86" i="9"/>
  <c r="AS85" i="9"/>
  <c r="AO85" i="9"/>
  <c r="AK85" i="9"/>
  <c r="AG85" i="9"/>
  <c r="AC85" i="9"/>
  <c r="Y85" i="9"/>
  <c r="U85" i="9"/>
  <c r="Q85" i="9"/>
  <c r="M85" i="9"/>
  <c r="I85" i="9"/>
  <c r="E85" i="9"/>
  <c r="D85" i="9"/>
  <c r="AS84" i="9"/>
  <c r="AO84" i="9"/>
  <c r="AK84" i="9"/>
  <c r="AH84" i="9"/>
  <c r="AG84" i="9"/>
  <c r="AC84" i="9"/>
  <c r="Y84" i="9"/>
  <c r="U84" i="9"/>
  <c r="R84" i="9"/>
  <c r="Q84" i="9"/>
  <c r="M84" i="9"/>
  <c r="I84" i="9"/>
  <c r="E84" i="9"/>
  <c r="AT83" i="9"/>
  <c r="AS83" i="9"/>
  <c r="AO83" i="9"/>
  <c r="AK83" i="9"/>
  <c r="AG83" i="9"/>
  <c r="AD83" i="9"/>
  <c r="AC83" i="9"/>
  <c r="Y83" i="9"/>
  <c r="U83" i="9"/>
  <c r="Q83" i="9"/>
  <c r="N83" i="9"/>
  <c r="M83" i="9"/>
  <c r="I83" i="9"/>
  <c r="E83" i="9"/>
  <c r="AS82" i="9"/>
  <c r="AP82" i="9"/>
  <c r="AO82" i="9"/>
  <c r="AK82" i="9"/>
  <c r="AG82" i="9"/>
  <c r="AC82" i="9"/>
  <c r="Z82" i="9"/>
  <c r="Y82" i="9"/>
  <c r="U82" i="9"/>
  <c r="Q82" i="9"/>
  <c r="M82" i="9"/>
  <c r="J82" i="9"/>
  <c r="I82" i="9"/>
  <c r="E82" i="9"/>
  <c r="D82" i="9"/>
  <c r="AS81" i="9"/>
  <c r="AO81" i="9"/>
  <c r="AK81" i="9"/>
  <c r="AG81" i="9"/>
  <c r="AC81" i="9"/>
  <c r="Y81" i="9"/>
  <c r="U81" i="9"/>
  <c r="Q81" i="9"/>
  <c r="M81" i="9"/>
  <c r="I81" i="9"/>
  <c r="E81" i="9"/>
  <c r="D81" i="9"/>
  <c r="AS80" i="9"/>
  <c r="AO80" i="9"/>
  <c r="AK80" i="9"/>
  <c r="AG80" i="9"/>
  <c r="AC80" i="9"/>
  <c r="Y80" i="9"/>
  <c r="U80" i="9"/>
  <c r="Q80" i="9"/>
  <c r="M80" i="9"/>
  <c r="L80" i="9"/>
  <c r="I80" i="9"/>
  <c r="E80" i="9"/>
  <c r="D80" i="9"/>
  <c r="AS79" i="9"/>
  <c r="AP79" i="9"/>
  <c r="AO79" i="9"/>
  <c r="AS78" i="9"/>
  <c r="AR78" i="9"/>
  <c r="AO78" i="9"/>
  <c r="AK78" i="9"/>
  <c r="AG78" i="9"/>
  <c r="AC78" i="9"/>
  <c r="Y78" i="9"/>
  <c r="U78" i="9"/>
  <c r="Q78" i="9"/>
  <c r="M78" i="9"/>
  <c r="I78" i="9"/>
  <c r="E78" i="9"/>
  <c r="D78" i="9"/>
  <c r="AS77" i="9"/>
  <c r="AO77" i="9"/>
  <c r="AK77" i="9"/>
  <c r="AG77" i="9"/>
  <c r="AC77" i="9"/>
  <c r="Y77" i="9"/>
  <c r="V77" i="9"/>
  <c r="U77" i="9"/>
  <c r="R77" i="9"/>
  <c r="Q77" i="9"/>
  <c r="N77" i="9"/>
  <c r="M77" i="9"/>
  <c r="J77" i="9"/>
  <c r="I77" i="9"/>
  <c r="F77" i="9"/>
  <c r="E77" i="9"/>
  <c r="D77" i="9"/>
  <c r="AT76" i="9"/>
  <c r="AS76" i="9"/>
  <c r="AP76" i="9"/>
  <c r="AO76" i="9"/>
  <c r="AL76" i="9"/>
  <c r="AK76" i="9"/>
  <c r="AH76" i="9"/>
  <c r="AG76" i="9"/>
  <c r="AD76" i="9"/>
  <c r="AC76" i="9"/>
  <c r="Z76" i="9"/>
  <c r="Y76" i="9"/>
  <c r="V76" i="9"/>
  <c r="U76" i="9"/>
  <c r="R76" i="9"/>
  <c r="Q76" i="9"/>
  <c r="N76" i="9"/>
  <c r="M76" i="9"/>
  <c r="J76" i="9"/>
  <c r="I76" i="9"/>
  <c r="F76" i="9"/>
  <c r="E76" i="9"/>
  <c r="AT75" i="9"/>
  <c r="AS75" i="9"/>
  <c r="AP75" i="9"/>
  <c r="AO75" i="9"/>
  <c r="AL75" i="9"/>
  <c r="AK75" i="9"/>
  <c r="AH75" i="9"/>
  <c r="AG75" i="9"/>
  <c r="AD75" i="9"/>
  <c r="AC75" i="9"/>
  <c r="Z75" i="9"/>
  <c r="Y75" i="9"/>
  <c r="V75" i="9"/>
  <c r="U75" i="9"/>
  <c r="R75" i="9"/>
  <c r="Q75" i="9"/>
  <c r="N75" i="9"/>
  <c r="M75" i="9"/>
  <c r="J75" i="9"/>
  <c r="I75" i="9"/>
  <c r="F75" i="9"/>
  <c r="E75" i="9"/>
  <c r="AT41" i="9"/>
  <c r="AS41" i="9"/>
  <c r="AP41" i="9"/>
  <c r="AO41" i="9"/>
  <c r="AM41" i="9"/>
  <c r="AL41" i="9"/>
  <c r="AK41" i="9"/>
  <c r="AI41" i="9"/>
  <c r="AH41" i="9"/>
  <c r="AG41" i="9"/>
  <c r="AD41" i="9"/>
  <c r="AC41" i="9"/>
  <c r="Z41" i="9"/>
  <c r="Y41" i="9"/>
  <c r="V41" i="9"/>
  <c r="U41" i="9"/>
  <c r="R41" i="9"/>
  <c r="Q41" i="9"/>
  <c r="N41" i="9"/>
  <c r="M41" i="9"/>
  <c r="J41" i="9"/>
  <c r="I41" i="9"/>
  <c r="F41" i="9"/>
  <c r="E41" i="9"/>
  <c r="AU40" i="9"/>
  <c r="AQ40" i="9"/>
  <c r="AM40" i="9"/>
  <c r="AI40" i="9"/>
  <c r="AE40" i="9"/>
  <c r="AA40" i="9"/>
  <c r="W40" i="9"/>
  <c r="S40" i="9"/>
  <c r="O40" i="9"/>
  <c r="K40" i="9"/>
  <c r="G40" i="9"/>
  <c r="AV39" i="9"/>
  <c r="AR39" i="9"/>
  <c r="AN39" i="9"/>
  <c r="AJ39" i="9"/>
  <c r="AF39" i="9"/>
  <c r="AB39" i="9"/>
  <c r="X39" i="9"/>
  <c r="T39" i="9"/>
  <c r="P39" i="9"/>
  <c r="L39" i="9"/>
  <c r="H39" i="9"/>
  <c r="AS38" i="9"/>
  <c r="AO38" i="9"/>
  <c r="AK38" i="9"/>
  <c r="AG38" i="9"/>
  <c r="AC38" i="9"/>
  <c r="Y38" i="9"/>
  <c r="U38" i="9"/>
  <c r="Q38" i="9"/>
  <c r="M38" i="9"/>
  <c r="I38" i="9"/>
  <c r="E38" i="9"/>
  <c r="AS36" i="9"/>
  <c r="AO36" i="9"/>
  <c r="AK36" i="9"/>
  <c r="AG36" i="9"/>
  <c r="AD36" i="9"/>
  <c r="AC36" i="9"/>
  <c r="Y36" i="9"/>
  <c r="V36" i="9"/>
  <c r="U36" i="9"/>
  <c r="Q36" i="9"/>
  <c r="M36" i="9"/>
  <c r="I36" i="9"/>
  <c r="E36" i="9"/>
  <c r="D36" i="9"/>
  <c r="AV34" i="9"/>
  <c r="AR34" i="9"/>
  <c r="AO34" i="9"/>
  <c r="AN34" i="9"/>
  <c r="AJ34" i="9"/>
  <c r="AF34" i="9"/>
  <c r="AB34" i="9"/>
  <c r="X34" i="9"/>
  <c r="U34" i="9"/>
  <c r="T34" i="9"/>
  <c r="P34" i="9"/>
  <c r="L34" i="9"/>
  <c r="I34" i="9"/>
  <c r="H34" i="9"/>
  <c r="D34" i="9"/>
  <c r="AS32" i="9"/>
  <c r="AO32" i="9"/>
  <c r="AK32" i="9"/>
  <c r="AG32" i="9"/>
  <c r="AC32" i="9"/>
  <c r="Y32" i="9"/>
  <c r="U32" i="9"/>
  <c r="Q32" i="9"/>
  <c r="M32" i="9"/>
  <c r="I32" i="9"/>
  <c r="E32" i="9"/>
  <c r="AT26" i="9"/>
  <c r="AP26" i="9"/>
  <c r="AD26" i="9"/>
  <c r="Z26" i="9"/>
  <c r="N26" i="9"/>
  <c r="J26" i="9"/>
  <c r="AJ21" i="9"/>
  <c r="AB21" i="9"/>
  <c r="H21" i="9"/>
  <c r="AF19" i="9"/>
  <c r="P19" i="9"/>
  <c r="L19" i="9"/>
  <c r="AM17" i="9"/>
  <c r="AE17" i="9"/>
  <c r="G17" i="9"/>
  <c r="BB137" i="1"/>
  <c r="BB126" i="1"/>
  <c r="BB112" i="1"/>
  <c r="BB107" i="1"/>
  <c r="BB106" i="1"/>
  <c r="BB91" i="1"/>
  <c r="BB85" i="1"/>
  <c r="BB84" i="1"/>
  <c r="BB82" i="1"/>
  <c r="BB81" i="1"/>
  <c r="BB80" i="1"/>
  <c r="BB79" i="1"/>
  <c r="BB78" i="1"/>
  <c r="BB77" i="1"/>
  <c r="BB76" i="1"/>
  <c r="BB75" i="1"/>
  <c r="BB74" i="1"/>
  <c r="BB73" i="1"/>
  <c r="BB70" i="1"/>
  <c r="BB69" i="1"/>
  <c r="BB68" i="1"/>
  <c r="BB56" i="1"/>
  <c r="BB45" i="1"/>
  <c r="BB31" i="1"/>
  <c r="BB26" i="1"/>
  <c r="BB25" i="1"/>
  <c r="BB10" i="1"/>
  <c r="K41" i="8"/>
  <c r="L39" i="8" l="1"/>
  <c r="AH77" i="9"/>
  <c r="AD77" i="9"/>
  <c r="Z77" i="9"/>
  <c r="H81" i="9"/>
  <c r="L78" i="9"/>
  <c r="W78" i="9"/>
  <c r="AN81" i="9"/>
  <c r="L85" i="9"/>
  <c r="AT17" i="9"/>
  <c r="AP17" i="9"/>
  <c r="AL17" i="9"/>
  <c r="AH17" i="9"/>
  <c r="AD17" i="9"/>
  <c r="Z17" i="9"/>
  <c r="V17" i="9"/>
  <c r="R17" i="9"/>
  <c r="N17" i="9"/>
  <c r="J17" i="9"/>
  <c r="F17" i="9"/>
  <c r="AR80" i="9"/>
  <c r="F40" i="9"/>
  <c r="AE75" i="9"/>
  <c r="AA38" i="9"/>
  <c r="AU75" i="9"/>
  <c r="AB85" i="9"/>
  <c r="AQ91" i="9"/>
  <c r="Z19" i="9"/>
  <c r="AR19" i="9"/>
  <c r="AQ21" i="9"/>
  <c r="AL31" i="9"/>
  <c r="AL37" i="9" s="1"/>
  <c r="S76" i="9"/>
  <c r="G78" i="9"/>
  <c r="AB78" i="9"/>
  <c r="AM78" i="9"/>
  <c r="AB80" i="9"/>
  <c r="X81" i="9"/>
  <c r="AB88" i="9"/>
  <c r="G89" i="9"/>
  <c r="AL40" i="9"/>
  <c r="AJ80" i="9"/>
  <c r="AF81" i="9"/>
  <c r="E19" i="9"/>
  <c r="AV19" i="9"/>
  <c r="X21" i="9"/>
  <c r="S26" i="9"/>
  <c r="AT34" i="9"/>
  <c r="S39" i="9"/>
  <c r="O75" i="9"/>
  <c r="AI76" i="9"/>
  <c r="L77" i="9"/>
  <c r="T80" i="9"/>
  <c r="P81" i="9"/>
  <c r="AM92" i="9"/>
  <c r="C26" i="9"/>
  <c r="C19" i="9"/>
  <c r="F39" i="9"/>
  <c r="G39" i="9"/>
  <c r="AB17" i="9"/>
  <c r="AB32" i="9"/>
  <c r="T17" i="9"/>
  <c r="T32" i="9"/>
  <c r="L17" i="9"/>
  <c r="L32" i="9"/>
  <c r="AS31" i="9"/>
  <c r="AS35" i="9" s="1"/>
  <c r="AS21" i="9"/>
  <c r="Q31" i="9"/>
  <c r="Q33" i="9" s="1"/>
  <c r="R31" i="9"/>
  <c r="Q21" i="9"/>
  <c r="E31" i="9"/>
  <c r="E37" i="9" s="1"/>
  <c r="E26" i="9"/>
  <c r="E21" i="9"/>
  <c r="AH34" i="9"/>
  <c r="AH35" i="9" s="1"/>
  <c r="AH19" i="9"/>
  <c r="L36" i="9"/>
  <c r="K21" i="9"/>
  <c r="X97" i="9"/>
  <c r="W97" i="9"/>
  <c r="X17" i="9"/>
  <c r="Q19" i="9"/>
  <c r="AL19" i="9"/>
  <c r="AC21" i="9"/>
  <c r="AD40" i="9"/>
  <c r="AQ97" i="9"/>
  <c r="C17" i="9"/>
  <c r="AO19" i="9"/>
  <c r="Y19" i="9"/>
  <c r="I19" i="9"/>
  <c r="AR26" i="9"/>
  <c r="AR41" i="9"/>
  <c r="V39" i="9"/>
  <c r="W39" i="9"/>
  <c r="N39" i="9"/>
  <c r="O39" i="9"/>
  <c r="AF38" i="9"/>
  <c r="AE38" i="9"/>
  <c r="X38" i="9"/>
  <c r="W38" i="9"/>
  <c r="D17" i="9"/>
  <c r="D32" i="9"/>
  <c r="AK31" i="9"/>
  <c r="AK33" i="9" s="1"/>
  <c r="AK26" i="9"/>
  <c r="Y26" i="9"/>
  <c r="Z31" i="9"/>
  <c r="Y21" i="9"/>
  <c r="Y31" i="9"/>
  <c r="Y37" i="9" s="1"/>
  <c r="M31" i="9"/>
  <c r="M42" i="9" s="1"/>
  <c r="M26" i="9"/>
  <c r="R34" i="9"/>
  <c r="R19" i="9"/>
  <c r="H17" i="9"/>
  <c r="F19" i="9"/>
  <c r="C21" i="9"/>
  <c r="AT31" i="9"/>
  <c r="K39" i="9"/>
  <c r="U19" i="9"/>
  <c r="U21" i="9"/>
  <c r="AQ38" i="9"/>
  <c r="AS26" i="9"/>
  <c r="N34" i="9"/>
  <c r="K38" i="9"/>
  <c r="AI39" i="9"/>
  <c r="V40" i="9"/>
  <c r="AV26" i="9"/>
  <c r="AV41" i="9"/>
  <c r="AG40" i="9"/>
  <c r="AH40" i="9"/>
  <c r="Y40" i="9"/>
  <c r="Z40" i="9"/>
  <c r="Q40" i="9"/>
  <c r="R40" i="9"/>
  <c r="I40" i="9"/>
  <c r="J40" i="9"/>
  <c r="AT39" i="9"/>
  <c r="AU39" i="9"/>
  <c r="AL39" i="9"/>
  <c r="AM39" i="9"/>
  <c r="AD39" i="9"/>
  <c r="AE39" i="9"/>
  <c r="AN38" i="9"/>
  <c r="AM38" i="9"/>
  <c r="P38" i="9"/>
  <c r="O38" i="9"/>
  <c r="H38" i="9"/>
  <c r="G38" i="9"/>
  <c r="AR17" i="9"/>
  <c r="AR32" i="9"/>
  <c r="AJ17" i="9"/>
  <c r="AJ32" i="9"/>
  <c r="AO21" i="9"/>
  <c r="AP31" i="9"/>
  <c r="AP42" i="9" s="1"/>
  <c r="AO26" i="9"/>
  <c r="AO31" i="9"/>
  <c r="AO42" i="9" s="1"/>
  <c r="AG26" i="9"/>
  <c r="AG21" i="9"/>
  <c r="AG31" i="9"/>
  <c r="AH31" i="9"/>
  <c r="AH42" i="9" s="1"/>
  <c r="U31" i="9"/>
  <c r="U35" i="9" s="1"/>
  <c r="U26" i="9"/>
  <c r="J31" i="9"/>
  <c r="I31" i="9"/>
  <c r="I35" i="9" s="1"/>
  <c r="AB36" i="9"/>
  <c r="AA21" i="9"/>
  <c r="AN17" i="9"/>
  <c r="N31" i="9"/>
  <c r="N35" i="9" s="1"/>
  <c r="AD34" i="9"/>
  <c r="S38" i="9"/>
  <c r="AQ39" i="9"/>
  <c r="J19" i="9"/>
  <c r="AP19" i="9"/>
  <c r="AC26" i="9"/>
  <c r="P17" i="9"/>
  <c r="AF17" i="9"/>
  <c r="AV17" i="9"/>
  <c r="V19" i="9"/>
  <c r="AG19" i="9"/>
  <c r="I21" i="9"/>
  <c r="AK21" i="9"/>
  <c r="AV38" i="9"/>
  <c r="Q26" i="9"/>
  <c r="AD31" i="9"/>
  <c r="AD37" i="9" s="1"/>
  <c r="AI38" i="9"/>
  <c r="AA39" i="9"/>
  <c r="N40" i="9"/>
  <c r="M19" i="9"/>
  <c r="AC19" i="9"/>
  <c r="AN19" i="9"/>
  <c r="AS19" i="9"/>
  <c r="D21" i="9"/>
  <c r="D31" i="9"/>
  <c r="D33" i="9" s="1"/>
  <c r="AU85" i="9"/>
  <c r="H88" i="9"/>
  <c r="AE96" i="9"/>
  <c r="AV31" i="9"/>
  <c r="AV33" i="9" s="1"/>
  <c r="AQ31" i="9"/>
  <c r="AQ42" i="9" s="1"/>
  <c r="AM26" i="9"/>
  <c r="AI31" i="9"/>
  <c r="AI42" i="9" s="1"/>
  <c r="AE26" i="9"/>
  <c r="AA31" i="9"/>
  <c r="AA42" i="9" s="1"/>
  <c r="W26" i="9"/>
  <c r="S31" i="9"/>
  <c r="S42" i="9" s="1"/>
  <c r="P31" i="9"/>
  <c r="P35" i="9" s="1"/>
  <c r="K31" i="9"/>
  <c r="K42" i="9" s="1"/>
  <c r="G26" i="9"/>
  <c r="T19" i="9"/>
  <c r="AV87" i="9"/>
  <c r="W91" i="9"/>
  <c r="X94" i="9"/>
  <c r="AS17" i="9"/>
  <c r="AO17" i="9"/>
  <c r="AK17" i="9"/>
  <c r="AG17" i="9"/>
  <c r="AC17" i="9"/>
  <c r="Y17" i="9"/>
  <c r="U17" i="9"/>
  <c r="Q17" i="9"/>
  <c r="M17" i="9"/>
  <c r="I17" i="9"/>
  <c r="E17" i="9"/>
  <c r="AH26" i="9"/>
  <c r="R26" i="9"/>
  <c r="AU34" i="9"/>
  <c r="AQ34" i="9"/>
  <c r="AQ35" i="9" s="1"/>
  <c r="AM34" i="9"/>
  <c r="AI34" i="9"/>
  <c r="AE34" i="9"/>
  <c r="AA34" i="9"/>
  <c r="AA35" i="9" s="1"/>
  <c r="W34" i="9"/>
  <c r="S34" i="9"/>
  <c r="S35" i="9" s="1"/>
  <c r="O34" i="9"/>
  <c r="K34" i="9"/>
  <c r="K35" i="9" s="1"/>
  <c r="G34" i="9"/>
  <c r="L110" i="8"/>
  <c r="L108" i="8"/>
  <c r="L37" i="8"/>
  <c r="L35" i="8"/>
  <c r="L116" i="8"/>
  <c r="L79" i="8"/>
  <c r="L71" i="8"/>
  <c r="L60" i="8"/>
  <c r="L109" i="8"/>
  <c r="L107" i="8"/>
  <c r="L111" i="8"/>
  <c r="L115" i="8"/>
  <c r="L66" i="8"/>
  <c r="L54" i="8"/>
  <c r="L73" i="8"/>
  <c r="AV76" i="9"/>
  <c r="AN98" i="9"/>
  <c r="AM98" i="9"/>
  <c r="X98" i="9"/>
  <c r="W98" i="9"/>
  <c r="L98" i="9"/>
  <c r="K98" i="9"/>
  <c r="AF97" i="9"/>
  <c r="AE97" i="9"/>
  <c r="AJ96" i="9"/>
  <c r="AI96" i="9"/>
  <c r="X96" i="9"/>
  <c r="W96" i="9"/>
  <c r="P96" i="9"/>
  <c r="O96" i="9"/>
  <c r="AM94" i="9"/>
  <c r="AN94" i="9"/>
  <c r="AA94" i="9"/>
  <c r="AB94" i="9"/>
  <c r="AV93" i="9"/>
  <c r="AU93" i="9"/>
  <c r="AN93" i="9"/>
  <c r="AM93" i="9"/>
  <c r="AB93" i="9"/>
  <c r="AA93" i="9"/>
  <c r="L93" i="9"/>
  <c r="K93" i="9"/>
  <c r="AF92" i="9"/>
  <c r="AE92" i="9"/>
  <c r="P92" i="9"/>
  <c r="O92" i="9"/>
  <c r="AN91" i="9"/>
  <c r="AM91" i="9"/>
  <c r="AQ90" i="9"/>
  <c r="AR90" i="9"/>
  <c r="AI90" i="9"/>
  <c r="AJ90" i="9"/>
  <c r="W90" i="9"/>
  <c r="X90" i="9"/>
  <c r="K90" i="9"/>
  <c r="L90" i="9"/>
  <c r="AV89" i="9"/>
  <c r="AU89" i="9"/>
  <c r="AJ89" i="9"/>
  <c r="AI89" i="9"/>
  <c r="X89" i="9"/>
  <c r="W89" i="9"/>
  <c r="AQ88" i="9"/>
  <c r="AR88" i="9"/>
  <c r="AF88" i="9"/>
  <c r="AE88" i="9"/>
  <c r="AR86" i="9"/>
  <c r="AQ86" i="9"/>
  <c r="AF86" i="9"/>
  <c r="AE86" i="9"/>
  <c r="T86" i="9"/>
  <c r="S86" i="9"/>
  <c r="L86" i="9"/>
  <c r="K86" i="9"/>
  <c r="AR85" i="9"/>
  <c r="AQ85" i="9"/>
  <c r="T85" i="9"/>
  <c r="S85" i="9"/>
  <c r="AA84" i="9"/>
  <c r="AB84" i="9"/>
  <c r="O84" i="9"/>
  <c r="P84" i="9"/>
  <c r="AI82" i="9"/>
  <c r="AJ82" i="9"/>
  <c r="W82" i="9"/>
  <c r="X82" i="9"/>
  <c r="S82" i="9"/>
  <c r="T82" i="9"/>
  <c r="G82" i="9"/>
  <c r="H82" i="9"/>
  <c r="AE76" i="9"/>
  <c r="AV77" i="9"/>
  <c r="T84" i="9"/>
  <c r="AJ98" i="9"/>
  <c r="AI98" i="9"/>
  <c r="AB98" i="9"/>
  <c r="AA98" i="9"/>
  <c r="P98" i="9"/>
  <c r="O98" i="9"/>
  <c r="AV97" i="9"/>
  <c r="AU97" i="9"/>
  <c r="AN97" i="9"/>
  <c r="AM97" i="9"/>
  <c r="P97" i="9"/>
  <c r="O97" i="9"/>
  <c r="H96" i="9"/>
  <c r="G96" i="9"/>
  <c r="AN95" i="9"/>
  <c r="AM95" i="9"/>
  <c r="AI94" i="9"/>
  <c r="AJ94" i="9"/>
  <c r="K94" i="9"/>
  <c r="L94" i="9"/>
  <c r="AR93" i="9"/>
  <c r="AQ93" i="9"/>
  <c r="AF93" i="9"/>
  <c r="AE93" i="9"/>
  <c r="X93" i="9"/>
  <c r="W93" i="9"/>
  <c r="P93" i="9"/>
  <c r="O93" i="9"/>
  <c r="AV92" i="9"/>
  <c r="AU92" i="9"/>
  <c r="AR92" i="9"/>
  <c r="AQ92" i="9"/>
  <c r="T92" i="9"/>
  <c r="S92" i="9"/>
  <c r="AB91" i="9"/>
  <c r="AA91" i="9"/>
  <c r="S91" i="9"/>
  <c r="T91" i="9"/>
  <c r="H91" i="9"/>
  <c r="G91" i="9"/>
  <c r="AM90" i="9"/>
  <c r="AN90" i="9"/>
  <c r="O90" i="9"/>
  <c r="P90" i="9"/>
  <c r="G90" i="9"/>
  <c r="H90" i="9"/>
  <c r="AN89" i="9"/>
  <c r="AM89" i="9"/>
  <c r="AB89" i="9"/>
  <c r="AA89" i="9"/>
  <c r="X88" i="9"/>
  <c r="W88" i="9"/>
  <c r="K88" i="9"/>
  <c r="L88" i="9"/>
  <c r="AQ87" i="9"/>
  <c r="AR87" i="9"/>
  <c r="AN86" i="9"/>
  <c r="AM86" i="9"/>
  <c r="AB86" i="9"/>
  <c r="AA86" i="9"/>
  <c r="P86" i="9"/>
  <c r="O86" i="9"/>
  <c r="H86" i="9"/>
  <c r="G86" i="9"/>
  <c r="AU84" i="9"/>
  <c r="AV84" i="9"/>
  <c r="AQ84" i="9"/>
  <c r="AR84" i="9"/>
  <c r="AE84" i="9"/>
  <c r="AF84" i="9"/>
  <c r="K84" i="9"/>
  <c r="L84" i="9"/>
  <c r="AQ83" i="9"/>
  <c r="AR83" i="9"/>
  <c r="AM83" i="9"/>
  <c r="AN83" i="9"/>
  <c r="AA83" i="9"/>
  <c r="AB83" i="9"/>
  <c r="W83" i="9"/>
  <c r="X83" i="9"/>
  <c r="K83" i="9"/>
  <c r="L83" i="9"/>
  <c r="G83" i="9"/>
  <c r="H83" i="9"/>
  <c r="AM82" i="9"/>
  <c r="AN82" i="9"/>
  <c r="AV81" i="9"/>
  <c r="AU81" i="9"/>
  <c r="AV79" i="9"/>
  <c r="AU79" i="9"/>
  <c r="AN79" i="9"/>
  <c r="AM79" i="9"/>
  <c r="AA75" i="9"/>
  <c r="AQ75" i="9"/>
  <c r="O76" i="9"/>
  <c r="H77" i="9"/>
  <c r="AF77" i="9"/>
  <c r="S78" i="9"/>
  <c r="AI78" i="9"/>
  <c r="L82" i="9"/>
  <c r="AB82" i="9"/>
  <c r="AR82" i="9"/>
  <c r="P83" i="9"/>
  <c r="AJ84" i="9"/>
  <c r="G85" i="9"/>
  <c r="AM85" i="9"/>
  <c r="T88" i="9"/>
  <c r="AM88" i="9"/>
  <c r="AB90" i="9"/>
  <c r="P94" i="9"/>
  <c r="G75" i="9"/>
  <c r="W75" i="9"/>
  <c r="AM75" i="9"/>
  <c r="K76" i="9"/>
  <c r="AA76" i="9"/>
  <c r="AQ76" i="9"/>
  <c r="T77" i="9"/>
  <c r="O78" i="9"/>
  <c r="AE78" i="9"/>
  <c r="AU78" i="9"/>
  <c r="H80" i="9"/>
  <c r="P80" i="9"/>
  <c r="X80" i="9"/>
  <c r="AF80" i="9"/>
  <c r="AN80" i="9"/>
  <c r="L81" i="9"/>
  <c r="T81" i="9"/>
  <c r="AB81" i="9"/>
  <c r="AJ81" i="9"/>
  <c r="P85" i="9"/>
  <c r="AF85" i="9"/>
  <c r="S89" i="9"/>
  <c r="T90" i="9"/>
  <c r="K91" i="9"/>
  <c r="G92" i="9"/>
  <c r="AA92" i="9"/>
  <c r="AI92" i="9"/>
  <c r="AQ95" i="9"/>
  <c r="S96" i="9"/>
  <c r="K97" i="9"/>
  <c r="AV98" i="9"/>
  <c r="AU98" i="9"/>
  <c r="AF98" i="9"/>
  <c r="AE98" i="9"/>
  <c r="T98" i="9"/>
  <c r="S98" i="9"/>
  <c r="H98" i="9"/>
  <c r="G98" i="9"/>
  <c r="AB97" i="9"/>
  <c r="AA97" i="9"/>
  <c r="T97" i="9"/>
  <c r="S97" i="9"/>
  <c r="H97" i="9"/>
  <c r="G97" i="9"/>
  <c r="AN96" i="9"/>
  <c r="AM96" i="9"/>
  <c r="AB96" i="9"/>
  <c r="AA96" i="9"/>
  <c r="AV95" i="9"/>
  <c r="AU95" i="9"/>
  <c r="AQ94" i="9"/>
  <c r="AR94" i="9"/>
  <c r="AE94" i="9"/>
  <c r="AF94" i="9"/>
  <c r="S94" i="9"/>
  <c r="T94" i="9"/>
  <c r="G94" i="9"/>
  <c r="H94" i="9"/>
  <c r="AJ93" i="9"/>
  <c r="AI93" i="9"/>
  <c r="T93" i="9"/>
  <c r="S93" i="9"/>
  <c r="H93" i="9"/>
  <c r="G93" i="9"/>
  <c r="X92" i="9"/>
  <c r="W92" i="9"/>
  <c r="L92" i="9"/>
  <c r="K92" i="9"/>
  <c r="AU90" i="9"/>
  <c r="AV90" i="9"/>
  <c r="AE90" i="9"/>
  <c r="AF90" i="9"/>
  <c r="AR89" i="9"/>
  <c r="AQ89" i="9"/>
  <c r="AF89" i="9"/>
  <c r="AE89" i="9"/>
  <c r="AM87" i="9"/>
  <c r="AN87" i="9"/>
  <c r="AV86" i="9"/>
  <c r="AU86" i="9"/>
  <c r="AJ86" i="9"/>
  <c r="AI86" i="9"/>
  <c r="X86" i="9"/>
  <c r="W86" i="9"/>
  <c r="AI85" i="9"/>
  <c r="AJ85" i="9"/>
  <c r="AR81" i="9"/>
  <c r="AQ81" i="9"/>
  <c r="AR79" i="9"/>
  <c r="AQ79" i="9"/>
  <c r="K75" i="9"/>
  <c r="AU76" i="9"/>
  <c r="X77" i="9"/>
  <c r="AN77" i="9"/>
  <c r="AF83" i="9"/>
  <c r="AV83" i="9"/>
  <c r="W85" i="9"/>
  <c r="P91" i="9"/>
  <c r="AJ91" i="9"/>
  <c r="AQ96" i="9"/>
  <c r="AI97" i="9"/>
  <c r="S75" i="9"/>
  <c r="AI75" i="9"/>
  <c r="G76" i="9"/>
  <c r="W76" i="9"/>
  <c r="AM76" i="9"/>
  <c r="P77" i="9"/>
  <c r="AB77" i="9"/>
  <c r="AJ77" i="9"/>
  <c r="AR77" i="9"/>
  <c r="P82" i="9"/>
  <c r="AF82" i="9"/>
  <c r="AV82" i="9"/>
  <c r="T83" i="9"/>
  <c r="AJ83" i="9"/>
  <c r="H84" i="9"/>
  <c r="X84" i="9"/>
  <c r="AN84" i="9"/>
  <c r="O88" i="9"/>
  <c r="AI88" i="9"/>
  <c r="L89" i="9"/>
  <c r="AE91" i="9"/>
  <c r="AV91" i="9"/>
  <c r="AV94" i="9"/>
  <c r="K96" i="9"/>
  <c r="G21" i="9"/>
  <c r="W21" i="9"/>
  <c r="AM21" i="9"/>
  <c r="G36" i="9"/>
  <c r="K36" i="9"/>
  <c r="O36" i="9"/>
  <c r="S36" i="9"/>
  <c r="W36" i="9"/>
  <c r="AA36" i="9"/>
  <c r="AA37" i="9" s="1"/>
  <c r="AE36" i="9"/>
  <c r="AI36" i="9"/>
  <c r="AM36" i="9"/>
  <c r="AQ36" i="9"/>
  <c r="AU36" i="9"/>
  <c r="S21" i="9"/>
  <c r="AI21" i="9"/>
  <c r="P36" i="9"/>
  <c r="AF36" i="9"/>
  <c r="AV36" i="9"/>
  <c r="AT21" i="9"/>
  <c r="AP21" i="9"/>
  <c r="AL21" i="9"/>
  <c r="AD21" i="9"/>
  <c r="Z21" i="9"/>
  <c r="V21" i="9"/>
  <c r="N21" i="9"/>
  <c r="J21" i="9"/>
  <c r="F21" i="9"/>
  <c r="O26" i="9"/>
  <c r="AU26" i="9"/>
  <c r="O31" i="9"/>
  <c r="O42" i="9" s="1"/>
  <c r="W31" i="9"/>
  <c r="W35" i="9" s="1"/>
  <c r="AE31" i="9"/>
  <c r="AE37" i="9" s="1"/>
  <c r="AM31" i="9"/>
  <c r="AM42" i="9" s="1"/>
  <c r="AU31" i="9"/>
  <c r="J32" i="9"/>
  <c r="R32" i="9"/>
  <c r="R33" i="9" s="1"/>
  <c r="Z32" i="9"/>
  <c r="Z33" i="9" s="1"/>
  <c r="AH32" i="9"/>
  <c r="AT32" i="9"/>
  <c r="G19" i="9"/>
  <c r="K19" i="9"/>
  <c r="O19" i="9"/>
  <c r="S19" i="9"/>
  <c r="W19" i="9"/>
  <c r="AA19" i="9"/>
  <c r="AE19" i="9"/>
  <c r="AI19" i="9"/>
  <c r="AM19" i="9"/>
  <c r="AQ19" i="9"/>
  <c r="AU19" i="9"/>
  <c r="F26" i="9"/>
  <c r="K26" i="9"/>
  <c r="V26" i="9"/>
  <c r="AA26" i="9"/>
  <c r="AL26" i="9"/>
  <c r="AQ26" i="9"/>
  <c r="H31" i="9"/>
  <c r="H35" i="9" s="1"/>
  <c r="L31" i="9"/>
  <c r="L35" i="9" s="1"/>
  <c r="T31" i="9"/>
  <c r="T37" i="9" s="1"/>
  <c r="X31" i="9"/>
  <c r="X37" i="9" s="1"/>
  <c r="AB31" i="9"/>
  <c r="AB33" i="9" s="1"/>
  <c r="AF31" i="9"/>
  <c r="AF33" i="9" s="1"/>
  <c r="AJ31" i="9"/>
  <c r="AJ42" i="9" s="1"/>
  <c r="AN31" i="9"/>
  <c r="AN35" i="9" s="1"/>
  <c r="AR31" i="9"/>
  <c r="G32" i="9"/>
  <c r="K32" i="9"/>
  <c r="O32" i="9"/>
  <c r="O33" i="9" s="1"/>
  <c r="S32" i="9"/>
  <c r="W32" i="9"/>
  <c r="AA32" i="9"/>
  <c r="AE32" i="9"/>
  <c r="AE33" i="9" s="1"/>
  <c r="AI32" i="9"/>
  <c r="AM32" i="9"/>
  <c r="AQ32" i="9"/>
  <c r="AU32" i="9"/>
  <c r="G31" i="9"/>
  <c r="F32" i="9"/>
  <c r="F33" i="9" s="1"/>
  <c r="N32" i="9"/>
  <c r="V32" i="9"/>
  <c r="V33" i="9" s="1"/>
  <c r="AD32" i="9"/>
  <c r="AL32" i="9"/>
  <c r="AL33" i="9" s="1"/>
  <c r="AP32" i="9"/>
  <c r="R21" i="9"/>
  <c r="AH21" i="9"/>
  <c r="AS40" i="9"/>
  <c r="H41" i="9"/>
  <c r="P41" i="9"/>
  <c r="X41" i="9"/>
  <c r="AF41" i="9"/>
  <c r="AF42" i="9" s="1"/>
  <c r="D26" i="9"/>
  <c r="L26" i="9"/>
  <c r="T26" i="9"/>
  <c r="AB26" i="9"/>
  <c r="AJ26" i="9"/>
  <c r="AN26" i="9"/>
  <c r="D42" i="9"/>
  <c r="L42" i="9"/>
  <c r="J33" i="9"/>
  <c r="F35" i="9"/>
  <c r="V35" i="9"/>
  <c r="AL35" i="9"/>
  <c r="AG33" i="9"/>
  <c r="E42" i="9"/>
  <c r="I42" i="9"/>
  <c r="U42" i="9"/>
  <c r="AC42" i="9"/>
  <c r="AG42" i="9"/>
  <c r="AK42" i="9"/>
  <c r="E33" i="9"/>
  <c r="AC33" i="9"/>
  <c r="J37" i="9"/>
  <c r="R37" i="9"/>
  <c r="Z37" i="9"/>
  <c r="AP37" i="9"/>
  <c r="V37" i="9"/>
  <c r="X35" i="9"/>
  <c r="AB35" i="9"/>
  <c r="AG35" i="9"/>
  <c r="AO35" i="9"/>
  <c r="AG37" i="9"/>
  <c r="AO37" i="9"/>
  <c r="F37" i="9"/>
  <c r="J35" i="9"/>
  <c r="R35" i="9"/>
  <c r="Z35" i="9"/>
  <c r="X33" i="9"/>
  <c r="M35" i="9"/>
  <c r="AC35" i="9"/>
  <c r="AK35" i="9"/>
  <c r="M37" i="9"/>
  <c r="AC37" i="9"/>
  <c r="AK37" i="9"/>
  <c r="F42" i="9"/>
  <c r="J42" i="9"/>
  <c r="N42" i="9"/>
  <c r="R42" i="9"/>
  <c r="V42" i="9"/>
  <c r="Z42" i="9"/>
  <c r="AD42" i="9"/>
  <c r="AL42" i="9"/>
  <c r="D37" i="9"/>
  <c r="AB37" i="9"/>
  <c r="G42" i="9"/>
  <c r="AE42" i="9"/>
  <c r="O89" i="9"/>
  <c r="N89" i="9"/>
  <c r="AP40" i="9"/>
  <c r="AO40" i="9"/>
  <c r="G35" i="9"/>
  <c r="AI35" i="9"/>
  <c r="K144" i="8"/>
  <c r="K143" i="8"/>
  <c r="K142" i="8"/>
  <c r="K141" i="8"/>
  <c r="K140" i="8"/>
  <c r="K139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03" i="8"/>
  <c r="K102" i="8"/>
  <c r="K101" i="8"/>
  <c r="K116" i="8" s="1"/>
  <c r="K100" i="8"/>
  <c r="K115" i="8" s="1"/>
  <c r="K99" i="8"/>
  <c r="K98" i="8"/>
  <c r="K97" i="8"/>
  <c r="K112" i="8" s="1"/>
  <c r="K96" i="8"/>
  <c r="K111" i="8" s="1"/>
  <c r="K95" i="8"/>
  <c r="K94" i="8"/>
  <c r="K93" i="8"/>
  <c r="K108" i="8" s="1"/>
  <c r="K92" i="8"/>
  <c r="K107" i="8" s="1"/>
  <c r="K91" i="8"/>
  <c r="K90" i="8"/>
  <c r="K89" i="8"/>
  <c r="K88" i="8"/>
  <c r="K87" i="8"/>
  <c r="K86" i="8"/>
  <c r="K43" i="8"/>
  <c r="K42" i="8"/>
  <c r="K40" i="8"/>
  <c r="K38" i="8"/>
  <c r="K39" i="8" s="1"/>
  <c r="K36" i="8"/>
  <c r="K34" i="8"/>
  <c r="K35" i="8" s="1"/>
  <c r="K33" i="8"/>
  <c r="K44" i="8" s="1"/>
  <c r="K118" i="8"/>
  <c r="J118" i="8"/>
  <c r="I118" i="8"/>
  <c r="H118" i="8"/>
  <c r="G118" i="8"/>
  <c r="F118" i="8"/>
  <c r="E118" i="8"/>
  <c r="D118" i="8"/>
  <c r="C118" i="8"/>
  <c r="K117" i="8"/>
  <c r="J117" i="8"/>
  <c r="I117" i="8"/>
  <c r="H117" i="8"/>
  <c r="G117" i="8"/>
  <c r="F117" i="8"/>
  <c r="E117" i="8"/>
  <c r="D117" i="8"/>
  <c r="C117" i="8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K110" i="8"/>
  <c r="J110" i="8"/>
  <c r="I110" i="8"/>
  <c r="H110" i="8"/>
  <c r="G110" i="8"/>
  <c r="F110" i="8"/>
  <c r="E110" i="8"/>
  <c r="D110" i="8"/>
  <c r="C110" i="8"/>
  <c r="K109" i="8"/>
  <c r="J109" i="8"/>
  <c r="I109" i="8"/>
  <c r="H109" i="8"/>
  <c r="G109" i="8"/>
  <c r="F109" i="8"/>
  <c r="E109" i="8"/>
  <c r="D109" i="8"/>
  <c r="C109" i="8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K81" i="8"/>
  <c r="J81" i="8"/>
  <c r="I81" i="8"/>
  <c r="H81" i="8"/>
  <c r="G81" i="8"/>
  <c r="F81" i="8"/>
  <c r="E81" i="8"/>
  <c r="D81" i="8"/>
  <c r="C81" i="8"/>
  <c r="K80" i="8"/>
  <c r="J80" i="8"/>
  <c r="I80" i="8"/>
  <c r="H80" i="8"/>
  <c r="G80" i="8"/>
  <c r="F80" i="8"/>
  <c r="E80" i="8"/>
  <c r="D80" i="8"/>
  <c r="C80" i="8"/>
  <c r="K79" i="8"/>
  <c r="J79" i="8"/>
  <c r="I79" i="8"/>
  <c r="H79" i="8"/>
  <c r="G79" i="8"/>
  <c r="F79" i="8"/>
  <c r="E79" i="8"/>
  <c r="D79" i="8"/>
  <c r="C79" i="8"/>
  <c r="K78" i="8"/>
  <c r="J78" i="8"/>
  <c r="I78" i="8"/>
  <c r="H78" i="8"/>
  <c r="G78" i="8"/>
  <c r="F78" i="8"/>
  <c r="E78" i="8"/>
  <c r="D78" i="8"/>
  <c r="C78" i="8"/>
  <c r="K77" i="8"/>
  <c r="J77" i="8"/>
  <c r="I77" i="8"/>
  <c r="H77" i="8"/>
  <c r="G77" i="8"/>
  <c r="F77" i="8"/>
  <c r="E77" i="8"/>
  <c r="D77" i="8"/>
  <c r="C77" i="8"/>
  <c r="K76" i="8"/>
  <c r="J76" i="8"/>
  <c r="I76" i="8"/>
  <c r="H76" i="8"/>
  <c r="G76" i="8"/>
  <c r="F76" i="8"/>
  <c r="E76" i="8"/>
  <c r="D76" i="8"/>
  <c r="C76" i="8"/>
  <c r="K75" i="8"/>
  <c r="J75" i="8"/>
  <c r="I75" i="8"/>
  <c r="H75" i="8"/>
  <c r="G75" i="8"/>
  <c r="F75" i="8"/>
  <c r="E75" i="8"/>
  <c r="D75" i="8"/>
  <c r="C75" i="8"/>
  <c r="K74" i="8"/>
  <c r="J74" i="8"/>
  <c r="I74" i="8"/>
  <c r="H74" i="8"/>
  <c r="G74" i="8"/>
  <c r="F74" i="8"/>
  <c r="E74" i="8"/>
  <c r="D74" i="8"/>
  <c r="C74" i="8"/>
  <c r="K73" i="8"/>
  <c r="J73" i="8"/>
  <c r="I73" i="8"/>
  <c r="H73" i="8"/>
  <c r="G73" i="8"/>
  <c r="F73" i="8"/>
  <c r="E73" i="8"/>
  <c r="D73" i="8"/>
  <c r="C73" i="8"/>
  <c r="K72" i="8"/>
  <c r="J72" i="8"/>
  <c r="I72" i="8"/>
  <c r="H72" i="8"/>
  <c r="G72" i="8"/>
  <c r="F72" i="8"/>
  <c r="E72" i="8"/>
  <c r="D72" i="8"/>
  <c r="C72" i="8"/>
  <c r="K71" i="8"/>
  <c r="J71" i="8"/>
  <c r="I71" i="8"/>
  <c r="H71" i="8"/>
  <c r="G71" i="8"/>
  <c r="F71" i="8"/>
  <c r="E71" i="8"/>
  <c r="D71" i="8"/>
  <c r="C71" i="8"/>
  <c r="K70" i="8"/>
  <c r="J70" i="8"/>
  <c r="I70" i="8"/>
  <c r="H70" i="8"/>
  <c r="G70" i="8"/>
  <c r="F70" i="8"/>
  <c r="E70" i="8"/>
  <c r="D70" i="8"/>
  <c r="C70" i="8"/>
  <c r="K119" i="7"/>
  <c r="J119" i="7"/>
  <c r="I119" i="7"/>
  <c r="H119" i="7"/>
  <c r="G119" i="7"/>
  <c r="F119" i="7"/>
  <c r="E119" i="7"/>
  <c r="D119" i="7"/>
  <c r="C119" i="7"/>
  <c r="K118" i="7"/>
  <c r="J118" i="7"/>
  <c r="I118" i="7"/>
  <c r="H118" i="7"/>
  <c r="G118" i="7"/>
  <c r="F118" i="7"/>
  <c r="E118" i="7"/>
  <c r="D118" i="7"/>
  <c r="C118" i="7"/>
  <c r="K117" i="7"/>
  <c r="J117" i="7"/>
  <c r="I117" i="7"/>
  <c r="H117" i="7"/>
  <c r="G117" i="7"/>
  <c r="F117" i="7"/>
  <c r="E117" i="7"/>
  <c r="D117" i="7"/>
  <c r="C117" i="7"/>
  <c r="K116" i="7"/>
  <c r="J116" i="7"/>
  <c r="I116" i="7"/>
  <c r="H116" i="7"/>
  <c r="G116" i="7"/>
  <c r="F116" i="7"/>
  <c r="E116" i="7"/>
  <c r="D116" i="7"/>
  <c r="C116" i="7"/>
  <c r="K115" i="7"/>
  <c r="J115" i="7"/>
  <c r="I115" i="7"/>
  <c r="H115" i="7"/>
  <c r="G115" i="7"/>
  <c r="F115" i="7"/>
  <c r="E115" i="7"/>
  <c r="D115" i="7"/>
  <c r="C115" i="7"/>
  <c r="K114" i="7"/>
  <c r="J114" i="7"/>
  <c r="I114" i="7"/>
  <c r="H114" i="7"/>
  <c r="G114" i="7"/>
  <c r="F114" i="7"/>
  <c r="E114" i="7"/>
  <c r="D114" i="7"/>
  <c r="C114" i="7"/>
  <c r="K113" i="7"/>
  <c r="J113" i="7"/>
  <c r="I113" i="7"/>
  <c r="H113" i="7"/>
  <c r="G113" i="7"/>
  <c r="F113" i="7"/>
  <c r="E113" i="7"/>
  <c r="D113" i="7"/>
  <c r="C113" i="7"/>
  <c r="K112" i="7"/>
  <c r="J112" i="7"/>
  <c r="I112" i="7"/>
  <c r="H112" i="7"/>
  <c r="G112" i="7"/>
  <c r="F112" i="7"/>
  <c r="E112" i="7"/>
  <c r="D112" i="7"/>
  <c r="C112" i="7"/>
  <c r="K111" i="7"/>
  <c r="J111" i="7"/>
  <c r="I111" i="7"/>
  <c r="H111" i="7"/>
  <c r="G111" i="7"/>
  <c r="F111" i="7"/>
  <c r="E111" i="7"/>
  <c r="D111" i="7"/>
  <c r="C111" i="7"/>
  <c r="K110" i="7"/>
  <c r="J110" i="7"/>
  <c r="I110" i="7"/>
  <c r="H110" i="7"/>
  <c r="G110" i="7"/>
  <c r="F110" i="7"/>
  <c r="E110" i="7"/>
  <c r="D110" i="7"/>
  <c r="C110" i="7"/>
  <c r="K109" i="7"/>
  <c r="J109" i="7"/>
  <c r="I109" i="7"/>
  <c r="H109" i="7"/>
  <c r="G109" i="7"/>
  <c r="F109" i="7"/>
  <c r="E109" i="7"/>
  <c r="D109" i="7"/>
  <c r="C109" i="7"/>
  <c r="K108" i="7"/>
  <c r="J108" i="7"/>
  <c r="I108" i="7"/>
  <c r="H108" i="7"/>
  <c r="G108" i="7"/>
  <c r="F108" i="7"/>
  <c r="E108" i="7"/>
  <c r="D108" i="7"/>
  <c r="C108" i="7"/>
  <c r="K82" i="7"/>
  <c r="J82" i="7"/>
  <c r="I82" i="7"/>
  <c r="H82" i="7"/>
  <c r="G82" i="7"/>
  <c r="F82" i="7"/>
  <c r="E82" i="7"/>
  <c r="D82" i="7"/>
  <c r="C82" i="7"/>
  <c r="K81" i="7"/>
  <c r="J81" i="7"/>
  <c r="I81" i="7"/>
  <c r="H81" i="7"/>
  <c r="G81" i="7"/>
  <c r="F81" i="7"/>
  <c r="E81" i="7"/>
  <c r="D81" i="7"/>
  <c r="C81" i="7"/>
  <c r="K80" i="7"/>
  <c r="J80" i="7"/>
  <c r="I80" i="7"/>
  <c r="H80" i="7"/>
  <c r="G80" i="7"/>
  <c r="F80" i="7"/>
  <c r="E80" i="7"/>
  <c r="D80" i="7"/>
  <c r="C80" i="7"/>
  <c r="K79" i="7"/>
  <c r="J79" i="7"/>
  <c r="I79" i="7"/>
  <c r="H79" i="7"/>
  <c r="G79" i="7"/>
  <c r="F79" i="7"/>
  <c r="E79" i="7"/>
  <c r="D79" i="7"/>
  <c r="C79" i="7"/>
  <c r="K78" i="7"/>
  <c r="J78" i="7"/>
  <c r="I78" i="7"/>
  <c r="H78" i="7"/>
  <c r="G78" i="7"/>
  <c r="F78" i="7"/>
  <c r="E78" i="7"/>
  <c r="D78" i="7"/>
  <c r="C78" i="7"/>
  <c r="K77" i="7"/>
  <c r="J77" i="7"/>
  <c r="I77" i="7"/>
  <c r="H77" i="7"/>
  <c r="G77" i="7"/>
  <c r="F77" i="7"/>
  <c r="E77" i="7"/>
  <c r="D77" i="7"/>
  <c r="C77" i="7"/>
  <c r="K76" i="7"/>
  <c r="J76" i="7"/>
  <c r="I76" i="7"/>
  <c r="H76" i="7"/>
  <c r="G76" i="7"/>
  <c r="F76" i="7"/>
  <c r="E76" i="7"/>
  <c r="D76" i="7"/>
  <c r="C76" i="7"/>
  <c r="K75" i="7"/>
  <c r="J75" i="7"/>
  <c r="I75" i="7"/>
  <c r="H75" i="7"/>
  <c r="G75" i="7"/>
  <c r="F75" i="7"/>
  <c r="E75" i="7"/>
  <c r="D75" i="7"/>
  <c r="C75" i="7"/>
  <c r="K74" i="7"/>
  <c r="J74" i="7"/>
  <c r="I74" i="7"/>
  <c r="H74" i="7"/>
  <c r="G74" i="7"/>
  <c r="F74" i="7"/>
  <c r="E74" i="7"/>
  <c r="D74" i="7"/>
  <c r="C74" i="7"/>
  <c r="K73" i="7"/>
  <c r="J73" i="7"/>
  <c r="I73" i="7"/>
  <c r="H73" i="7"/>
  <c r="G73" i="7"/>
  <c r="F73" i="7"/>
  <c r="E73" i="7"/>
  <c r="D73" i="7"/>
  <c r="C73" i="7"/>
  <c r="K72" i="7"/>
  <c r="J72" i="7"/>
  <c r="I72" i="7"/>
  <c r="H72" i="7"/>
  <c r="G72" i="7"/>
  <c r="F72" i="7"/>
  <c r="E72" i="7"/>
  <c r="D72" i="7"/>
  <c r="C72" i="7"/>
  <c r="K71" i="7"/>
  <c r="J71" i="7"/>
  <c r="I71" i="7"/>
  <c r="H71" i="7"/>
  <c r="G71" i="7"/>
  <c r="F71" i="7"/>
  <c r="E71" i="7"/>
  <c r="D71" i="7"/>
  <c r="C71" i="7"/>
  <c r="K65" i="8"/>
  <c r="K64" i="8"/>
  <c r="K63" i="8"/>
  <c r="K62" i="8"/>
  <c r="K61" i="8"/>
  <c r="K66" i="8" s="1"/>
  <c r="K59" i="8"/>
  <c r="K58" i="8"/>
  <c r="K57" i="8"/>
  <c r="K56" i="8"/>
  <c r="K55" i="8"/>
  <c r="K60" i="8" s="1"/>
  <c r="K53" i="8"/>
  <c r="K52" i="8"/>
  <c r="K51" i="8"/>
  <c r="K50" i="8"/>
  <c r="K49" i="8"/>
  <c r="K54" i="8" s="1"/>
  <c r="K27" i="8"/>
  <c r="K28" i="8" s="1"/>
  <c r="K26" i="8"/>
  <c r="K25" i="8"/>
  <c r="K24" i="8"/>
  <c r="K23" i="8"/>
  <c r="K22" i="8"/>
  <c r="K20" i="8"/>
  <c r="K21" i="8" s="1"/>
  <c r="K19" i="8"/>
  <c r="K18" i="8"/>
  <c r="K17" i="8"/>
  <c r="K217" i="7"/>
  <c r="K216" i="7"/>
  <c r="K215" i="7"/>
  <c r="K214" i="7"/>
  <c r="K213" i="7"/>
  <c r="K212" i="7"/>
  <c r="K211" i="7"/>
  <c r="K210" i="7"/>
  <c r="K209" i="7"/>
  <c r="K174" i="7"/>
  <c r="K171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45" i="7"/>
  <c r="K44" i="7"/>
  <c r="K43" i="7"/>
  <c r="K42" i="7"/>
  <c r="K41" i="7"/>
  <c r="K39" i="7"/>
  <c r="K40" i="7" s="1"/>
  <c r="K37" i="7"/>
  <c r="K38" i="7" s="1"/>
  <c r="K35" i="7"/>
  <c r="K36" i="7" s="1"/>
  <c r="K34" i="7"/>
  <c r="K29" i="7"/>
  <c r="K25" i="7"/>
  <c r="K24" i="7"/>
  <c r="K22" i="7"/>
  <c r="K20" i="7"/>
  <c r="BA137" i="1"/>
  <c r="BA126" i="1"/>
  <c r="BA112" i="1"/>
  <c r="BA107" i="1"/>
  <c r="BA106" i="1"/>
  <c r="BA91" i="1"/>
  <c r="BA56" i="1"/>
  <c r="BA45" i="1"/>
  <c r="BA31" i="1"/>
  <c r="BA26" i="1"/>
  <c r="BA25" i="1"/>
  <c r="BA10" i="1"/>
  <c r="J144" i="8"/>
  <c r="I144" i="8"/>
  <c r="H144" i="8"/>
  <c r="G144" i="8"/>
  <c r="F144" i="8"/>
  <c r="F140" i="8"/>
  <c r="G140" i="8"/>
  <c r="H140" i="8"/>
  <c r="I140" i="8"/>
  <c r="J140" i="8"/>
  <c r="F141" i="8"/>
  <c r="G141" i="8"/>
  <c r="H141" i="8"/>
  <c r="I141" i="8"/>
  <c r="J141" i="8"/>
  <c r="F142" i="8"/>
  <c r="G142" i="8"/>
  <c r="H142" i="8"/>
  <c r="I142" i="8"/>
  <c r="J142" i="8"/>
  <c r="F143" i="8"/>
  <c r="G143" i="8"/>
  <c r="H143" i="8"/>
  <c r="I143" i="8"/>
  <c r="J143" i="8"/>
  <c r="G139" i="8"/>
  <c r="H139" i="8"/>
  <c r="I139" i="8"/>
  <c r="J139" i="8"/>
  <c r="F139" i="8"/>
  <c r="J134" i="8"/>
  <c r="I134" i="8"/>
  <c r="H134" i="8"/>
  <c r="G134" i="8"/>
  <c r="F134" i="8"/>
  <c r="E134" i="8"/>
  <c r="D134" i="8"/>
  <c r="C134" i="8"/>
  <c r="J128" i="8"/>
  <c r="I128" i="8"/>
  <c r="H128" i="8"/>
  <c r="G128" i="8"/>
  <c r="F128" i="8"/>
  <c r="E128" i="8"/>
  <c r="D128" i="8"/>
  <c r="C128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D123" i="8"/>
  <c r="E123" i="8"/>
  <c r="F123" i="8"/>
  <c r="G123" i="8"/>
  <c r="H123" i="8"/>
  <c r="I123" i="8"/>
  <c r="J123" i="8"/>
  <c r="D124" i="8"/>
  <c r="E124" i="8"/>
  <c r="F124" i="8"/>
  <c r="G124" i="8"/>
  <c r="H124" i="8"/>
  <c r="I124" i="8"/>
  <c r="J124" i="8"/>
  <c r="D125" i="8"/>
  <c r="E125" i="8"/>
  <c r="F125" i="8"/>
  <c r="G125" i="8"/>
  <c r="H125" i="8"/>
  <c r="I125" i="8"/>
  <c r="J125" i="8"/>
  <c r="D126" i="8"/>
  <c r="E126" i="8"/>
  <c r="F126" i="8"/>
  <c r="G126" i="8"/>
  <c r="H126" i="8"/>
  <c r="I126" i="8"/>
  <c r="J126" i="8"/>
  <c r="D127" i="8"/>
  <c r="E127" i="8"/>
  <c r="F127" i="8"/>
  <c r="G127" i="8"/>
  <c r="H127" i="8"/>
  <c r="I127" i="8"/>
  <c r="J127" i="8"/>
  <c r="C127" i="8"/>
  <c r="C124" i="8"/>
  <c r="C125" i="8"/>
  <c r="C126" i="8"/>
  <c r="C123" i="8"/>
  <c r="J65" i="8"/>
  <c r="I65" i="8"/>
  <c r="H65" i="8"/>
  <c r="G65" i="8"/>
  <c r="F65" i="8"/>
  <c r="E65" i="8"/>
  <c r="D65" i="8"/>
  <c r="C65" i="8"/>
  <c r="C102" i="8" s="1"/>
  <c r="J64" i="8"/>
  <c r="I64" i="8"/>
  <c r="H64" i="8"/>
  <c r="G64" i="8"/>
  <c r="F64" i="8"/>
  <c r="E64" i="8"/>
  <c r="D64" i="8"/>
  <c r="C64" i="8"/>
  <c r="C101" i="8" s="1"/>
  <c r="J63" i="8"/>
  <c r="I63" i="8"/>
  <c r="H63" i="8"/>
  <c r="G63" i="8"/>
  <c r="F63" i="8"/>
  <c r="E63" i="8"/>
  <c r="D63" i="8"/>
  <c r="C63" i="8"/>
  <c r="C100" i="8" s="1"/>
  <c r="J62" i="8"/>
  <c r="I62" i="8"/>
  <c r="H62" i="8"/>
  <c r="G62" i="8"/>
  <c r="F62" i="8"/>
  <c r="E62" i="8"/>
  <c r="D62" i="8"/>
  <c r="C62" i="8"/>
  <c r="C99" i="8" s="1"/>
  <c r="J61" i="8"/>
  <c r="I61" i="8"/>
  <c r="I66" i="8" s="1"/>
  <c r="H61" i="8"/>
  <c r="H66" i="8" s="1"/>
  <c r="G61" i="8"/>
  <c r="G66" i="8" s="1"/>
  <c r="G103" i="8" s="1"/>
  <c r="F61" i="8"/>
  <c r="E61" i="8"/>
  <c r="E66" i="8" s="1"/>
  <c r="D61" i="8"/>
  <c r="D66" i="8" s="1"/>
  <c r="C61" i="8"/>
  <c r="J59" i="8"/>
  <c r="I59" i="8"/>
  <c r="H59" i="8"/>
  <c r="G59" i="8"/>
  <c r="G96" i="8" s="1"/>
  <c r="F59" i="8"/>
  <c r="E59" i="8"/>
  <c r="D59" i="8"/>
  <c r="C59" i="8"/>
  <c r="J58" i="8"/>
  <c r="I58" i="8"/>
  <c r="H58" i="8"/>
  <c r="G58" i="8"/>
  <c r="G95" i="8" s="1"/>
  <c r="F58" i="8"/>
  <c r="E58" i="8"/>
  <c r="D58" i="8"/>
  <c r="C58" i="8"/>
  <c r="C95" i="8" s="1"/>
  <c r="J57" i="8"/>
  <c r="I57" i="8"/>
  <c r="H57" i="8"/>
  <c r="G57" i="8"/>
  <c r="F57" i="8"/>
  <c r="E57" i="8"/>
  <c r="D57" i="8"/>
  <c r="C57" i="8"/>
  <c r="J56" i="8"/>
  <c r="I56" i="8"/>
  <c r="H56" i="8"/>
  <c r="G56" i="8"/>
  <c r="G93" i="8" s="1"/>
  <c r="F56" i="8"/>
  <c r="E56" i="8"/>
  <c r="D56" i="8"/>
  <c r="C56" i="8"/>
  <c r="C93" i="8" s="1"/>
  <c r="J55" i="8"/>
  <c r="I55" i="8"/>
  <c r="H55" i="8"/>
  <c r="G55" i="8"/>
  <c r="G92" i="8" s="1"/>
  <c r="F55" i="8"/>
  <c r="E55" i="8"/>
  <c r="D55" i="8"/>
  <c r="C55" i="8"/>
  <c r="C50" i="8"/>
  <c r="D50" i="8"/>
  <c r="E50" i="8"/>
  <c r="F50" i="8"/>
  <c r="G50" i="8"/>
  <c r="H50" i="8"/>
  <c r="I50" i="8"/>
  <c r="J50" i="8"/>
  <c r="C51" i="8"/>
  <c r="D51" i="8"/>
  <c r="E51" i="8"/>
  <c r="F51" i="8"/>
  <c r="G51" i="8"/>
  <c r="H51" i="8"/>
  <c r="I51" i="8"/>
  <c r="J51" i="8"/>
  <c r="C52" i="8"/>
  <c r="D52" i="8"/>
  <c r="E52" i="8"/>
  <c r="F52" i="8"/>
  <c r="G52" i="8"/>
  <c r="H52" i="8"/>
  <c r="I52" i="8"/>
  <c r="J52" i="8"/>
  <c r="C53" i="8"/>
  <c r="D53" i="8"/>
  <c r="E53" i="8"/>
  <c r="F53" i="8"/>
  <c r="G53" i="8"/>
  <c r="H53" i="8"/>
  <c r="I53" i="8"/>
  <c r="J53" i="8"/>
  <c r="D49" i="8"/>
  <c r="E49" i="8"/>
  <c r="F49" i="8"/>
  <c r="G49" i="8"/>
  <c r="G86" i="8" s="1"/>
  <c r="H49" i="8"/>
  <c r="I49" i="8"/>
  <c r="J49" i="8"/>
  <c r="C49" i="8"/>
  <c r="C86" i="8" s="1"/>
  <c r="J27" i="8"/>
  <c r="I27" i="8"/>
  <c r="H27" i="8"/>
  <c r="G27" i="8"/>
  <c r="G43" i="8" s="1"/>
  <c r="F27" i="8"/>
  <c r="E27" i="8"/>
  <c r="D27" i="8"/>
  <c r="C27" i="8"/>
  <c r="C43" i="8" s="1"/>
  <c r="J26" i="8"/>
  <c r="I26" i="8"/>
  <c r="H26" i="8"/>
  <c r="G26" i="8"/>
  <c r="G42" i="8" s="1"/>
  <c r="F26" i="8"/>
  <c r="E26" i="8"/>
  <c r="D26" i="8"/>
  <c r="C26" i="8"/>
  <c r="C42" i="8" s="1"/>
  <c r="D24" i="8"/>
  <c r="E24" i="8"/>
  <c r="F24" i="8"/>
  <c r="G24" i="8"/>
  <c r="G40" i="8" s="1"/>
  <c r="H24" i="8"/>
  <c r="I24" i="8"/>
  <c r="J24" i="8"/>
  <c r="C24" i="8"/>
  <c r="C40" i="8" s="1"/>
  <c r="J25" i="8"/>
  <c r="I25" i="8"/>
  <c r="H25" i="8"/>
  <c r="G25" i="8"/>
  <c r="G41" i="8" s="1"/>
  <c r="F25" i="8"/>
  <c r="E25" i="8"/>
  <c r="D25" i="8"/>
  <c r="C25" i="8"/>
  <c r="C41" i="8" s="1"/>
  <c r="J22" i="8"/>
  <c r="I22" i="8"/>
  <c r="H22" i="8"/>
  <c r="G22" i="8"/>
  <c r="G38" i="8" s="1"/>
  <c r="F22" i="8"/>
  <c r="E22" i="8"/>
  <c r="D22" i="8"/>
  <c r="C22" i="8"/>
  <c r="C38" i="8" s="1"/>
  <c r="J20" i="8"/>
  <c r="I20" i="8"/>
  <c r="H20" i="8"/>
  <c r="G20" i="8"/>
  <c r="G36" i="8" s="1"/>
  <c r="F20" i="8"/>
  <c r="E20" i="8"/>
  <c r="D20" i="8"/>
  <c r="C20" i="8"/>
  <c r="C36" i="8" s="1"/>
  <c r="C18" i="8"/>
  <c r="D18" i="8"/>
  <c r="E18" i="8"/>
  <c r="F18" i="8"/>
  <c r="G18" i="8"/>
  <c r="H18" i="8"/>
  <c r="I18" i="8"/>
  <c r="J18" i="8"/>
  <c r="D17" i="8"/>
  <c r="E17" i="8"/>
  <c r="F17" i="8"/>
  <c r="G17" i="8"/>
  <c r="G33" i="8" s="1"/>
  <c r="H17" i="8"/>
  <c r="I17" i="8"/>
  <c r="J17" i="8"/>
  <c r="C17" i="8"/>
  <c r="C33" i="8" s="1"/>
  <c r="I60" i="8"/>
  <c r="G90" i="8"/>
  <c r="C90" i="8"/>
  <c r="G89" i="8"/>
  <c r="C89" i="8"/>
  <c r="G88" i="8"/>
  <c r="C88" i="8"/>
  <c r="G87" i="8"/>
  <c r="C87" i="8"/>
  <c r="G34" i="8"/>
  <c r="C34" i="8"/>
  <c r="J217" i="7"/>
  <c r="J216" i="7"/>
  <c r="J215" i="7"/>
  <c r="J214" i="7"/>
  <c r="J213" i="7"/>
  <c r="J212" i="7"/>
  <c r="J211" i="7"/>
  <c r="J210" i="7"/>
  <c r="J209" i="7"/>
  <c r="J174" i="7"/>
  <c r="J171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44" i="7"/>
  <c r="J43" i="7"/>
  <c r="J42" i="7"/>
  <c r="J39" i="7"/>
  <c r="J37" i="7"/>
  <c r="J35" i="7"/>
  <c r="J34" i="7"/>
  <c r="J29" i="7"/>
  <c r="J25" i="7"/>
  <c r="J24" i="7"/>
  <c r="J22" i="7"/>
  <c r="J20" i="7"/>
  <c r="AZ85" i="1"/>
  <c r="AY85" i="1"/>
  <c r="AX85" i="1"/>
  <c r="AV85" i="1"/>
  <c r="AU85" i="1"/>
  <c r="AT85" i="1"/>
  <c r="AZ84" i="1"/>
  <c r="AY84" i="1"/>
  <c r="AX84" i="1"/>
  <c r="AV84" i="1"/>
  <c r="AU84" i="1"/>
  <c r="AT84" i="1"/>
  <c r="AZ83" i="1"/>
  <c r="AY83" i="1"/>
  <c r="AX83" i="1"/>
  <c r="AV83" i="1"/>
  <c r="AU83" i="1"/>
  <c r="AT83" i="1"/>
  <c r="AZ82" i="1"/>
  <c r="AY82" i="1"/>
  <c r="AX82" i="1"/>
  <c r="AV82" i="1"/>
  <c r="AU82" i="1"/>
  <c r="AT82" i="1"/>
  <c r="AZ81" i="1"/>
  <c r="AY81" i="1"/>
  <c r="AX81" i="1"/>
  <c r="AV81" i="1"/>
  <c r="AU81" i="1"/>
  <c r="AT81" i="1"/>
  <c r="AZ80" i="1"/>
  <c r="AY80" i="1"/>
  <c r="AX80" i="1"/>
  <c r="AV80" i="1"/>
  <c r="AU80" i="1"/>
  <c r="AT80" i="1"/>
  <c r="AZ79" i="1"/>
  <c r="AY79" i="1"/>
  <c r="AX79" i="1"/>
  <c r="AV79" i="1"/>
  <c r="AU79" i="1"/>
  <c r="AT79" i="1"/>
  <c r="AZ78" i="1"/>
  <c r="AY78" i="1"/>
  <c r="AX78" i="1"/>
  <c r="AV78" i="1"/>
  <c r="AU78" i="1"/>
  <c r="AT78" i="1"/>
  <c r="AZ77" i="1"/>
  <c r="AY77" i="1"/>
  <c r="AX77" i="1"/>
  <c r="AV77" i="1"/>
  <c r="AU77" i="1"/>
  <c r="AT77" i="1"/>
  <c r="AZ76" i="1"/>
  <c r="AY76" i="1"/>
  <c r="AX76" i="1"/>
  <c r="AV76" i="1"/>
  <c r="AU76" i="1"/>
  <c r="AT76" i="1"/>
  <c r="AZ75" i="1"/>
  <c r="AY75" i="1"/>
  <c r="AX75" i="1"/>
  <c r="AV75" i="1"/>
  <c r="AU75" i="1"/>
  <c r="AT75" i="1"/>
  <c r="AZ74" i="1"/>
  <c r="AY74" i="1"/>
  <c r="AX74" i="1"/>
  <c r="AV74" i="1"/>
  <c r="AU74" i="1"/>
  <c r="AT74" i="1"/>
  <c r="AZ73" i="1"/>
  <c r="AY73" i="1"/>
  <c r="AX73" i="1"/>
  <c r="AV73" i="1"/>
  <c r="AU73" i="1"/>
  <c r="AT73" i="1"/>
  <c r="AZ70" i="1"/>
  <c r="AY70" i="1"/>
  <c r="AX70" i="1"/>
  <c r="AV70" i="1"/>
  <c r="AU70" i="1"/>
  <c r="AT70" i="1"/>
  <c r="AZ69" i="1"/>
  <c r="AY69" i="1"/>
  <c r="AX69" i="1"/>
  <c r="AV69" i="1"/>
  <c r="AU69" i="1"/>
  <c r="AT69" i="1"/>
  <c r="AZ68" i="1"/>
  <c r="AY68" i="1"/>
  <c r="AX68" i="1"/>
  <c r="AV68" i="1"/>
  <c r="AU68" i="1"/>
  <c r="AT68" i="1"/>
  <c r="AZ137" i="1"/>
  <c r="AZ126" i="1"/>
  <c r="AZ112" i="1"/>
  <c r="AZ107" i="1"/>
  <c r="AZ106" i="1"/>
  <c r="AZ91" i="1"/>
  <c r="AZ56" i="1"/>
  <c r="AZ45" i="1"/>
  <c r="AZ31" i="1"/>
  <c r="AZ26" i="1"/>
  <c r="AZ25" i="1"/>
  <c r="AZ10" i="1"/>
  <c r="I217" i="7"/>
  <c r="I216" i="7"/>
  <c r="I215" i="7"/>
  <c r="I214" i="7"/>
  <c r="I213" i="7"/>
  <c r="I212" i="7"/>
  <c r="I210" i="7"/>
  <c r="I209" i="7"/>
  <c r="I33" i="9" l="1"/>
  <c r="N33" i="9"/>
  <c r="AH37" i="9"/>
  <c r="N37" i="9"/>
  <c r="AN42" i="9"/>
  <c r="I37" i="9"/>
  <c r="AS42" i="9"/>
  <c r="AS33" i="9"/>
  <c r="AH33" i="9"/>
  <c r="AU33" i="9"/>
  <c r="AI37" i="9"/>
  <c r="S37" i="9"/>
  <c r="AN37" i="9"/>
  <c r="AS37" i="9"/>
  <c r="AN33" i="9"/>
  <c r="AO33" i="9"/>
  <c r="X42" i="9"/>
  <c r="AD33" i="9"/>
  <c r="AI33" i="9"/>
  <c r="S33" i="9"/>
  <c r="Q42" i="9"/>
  <c r="AP35" i="9"/>
  <c r="Q35" i="9"/>
  <c r="M33" i="9"/>
  <c r="Q37" i="9"/>
  <c r="AR33" i="9"/>
  <c r="O35" i="9"/>
  <c r="AE35" i="9"/>
  <c r="AU35" i="9"/>
  <c r="AD35" i="9"/>
  <c r="AT35" i="9"/>
  <c r="AR42" i="9"/>
  <c r="AU42" i="9"/>
  <c r="AQ37" i="9"/>
  <c r="K37" i="9"/>
  <c r="AB42" i="9"/>
  <c r="H42" i="9"/>
  <c r="AP33" i="9"/>
  <c r="AQ33" i="9"/>
  <c r="AA33" i="9"/>
  <c r="K33" i="9"/>
  <c r="AM35" i="9"/>
  <c r="P33" i="9"/>
  <c r="AV37" i="9"/>
  <c r="D35" i="9"/>
  <c r="U37" i="9"/>
  <c r="E35" i="9"/>
  <c r="AV35" i="9"/>
  <c r="AT37" i="9"/>
  <c r="AV42" i="9"/>
  <c r="Y33" i="9"/>
  <c r="H33" i="9"/>
  <c r="Y42" i="9"/>
  <c r="P42" i="9"/>
  <c r="AR37" i="9"/>
  <c r="P37" i="9"/>
  <c r="AT42" i="9"/>
  <c r="Y35" i="9"/>
  <c r="AR35" i="9"/>
  <c r="U33" i="9"/>
  <c r="AT33" i="9"/>
  <c r="AM37" i="9"/>
  <c r="W37" i="9"/>
  <c r="G37" i="9"/>
  <c r="H37" i="9"/>
  <c r="AM33" i="9"/>
  <c r="W33" i="9"/>
  <c r="G33" i="9"/>
  <c r="AU37" i="9"/>
  <c r="L112" i="8"/>
  <c r="L75" i="8"/>
  <c r="L81" i="8"/>
  <c r="L118" i="8"/>
  <c r="W42" i="9"/>
  <c r="AJ37" i="9"/>
  <c r="T35" i="9"/>
  <c r="AF37" i="9"/>
  <c r="AJ33" i="9"/>
  <c r="T33" i="9"/>
  <c r="O37" i="9"/>
  <c r="AF35" i="9"/>
  <c r="T42" i="9"/>
  <c r="AJ35" i="9"/>
  <c r="L37" i="9"/>
  <c r="L33" i="9"/>
  <c r="K37" i="8"/>
  <c r="E60" i="8"/>
  <c r="I87" i="8"/>
  <c r="C96" i="8"/>
  <c r="G99" i="8"/>
  <c r="C94" i="8"/>
  <c r="G101" i="8"/>
  <c r="C66" i="8"/>
  <c r="C103" i="8" s="1"/>
  <c r="G100" i="8"/>
  <c r="G102" i="8"/>
  <c r="G94" i="8"/>
  <c r="C92" i="8"/>
  <c r="I96" i="8"/>
  <c r="J54" i="8"/>
  <c r="F54" i="8"/>
  <c r="J36" i="7"/>
  <c r="J38" i="7"/>
  <c r="J40" i="7"/>
  <c r="J45" i="7"/>
  <c r="F40" i="8"/>
  <c r="D33" i="8"/>
  <c r="H33" i="8"/>
  <c r="D34" i="8"/>
  <c r="H34" i="8"/>
  <c r="D36" i="8"/>
  <c r="H36" i="8"/>
  <c r="H37" i="8" s="1"/>
  <c r="D38" i="8"/>
  <c r="H38" i="8"/>
  <c r="D40" i="8"/>
  <c r="H40" i="8"/>
  <c r="D41" i="8"/>
  <c r="H41" i="8"/>
  <c r="D42" i="8"/>
  <c r="H42" i="8"/>
  <c r="D43" i="8"/>
  <c r="H43" i="8"/>
  <c r="E33" i="8"/>
  <c r="I33" i="8"/>
  <c r="E34" i="8"/>
  <c r="I34" i="8"/>
  <c r="E36" i="8"/>
  <c r="E37" i="8" s="1"/>
  <c r="I36" i="8"/>
  <c r="D88" i="8"/>
  <c r="H88" i="8"/>
  <c r="D93" i="8"/>
  <c r="F21" i="8"/>
  <c r="J36" i="8"/>
  <c r="F42" i="8"/>
  <c r="J42" i="8"/>
  <c r="E87" i="8"/>
  <c r="E96" i="8"/>
  <c r="D99" i="8"/>
  <c r="H99" i="8"/>
  <c r="D100" i="8"/>
  <c r="H100" i="8"/>
  <c r="D101" i="8"/>
  <c r="H101" i="8"/>
  <c r="D102" i="8"/>
  <c r="H102" i="8"/>
  <c r="F87" i="8"/>
  <c r="J87" i="8"/>
  <c r="F88" i="8"/>
  <c r="J88" i="8"/>
  <c r="F89" i="8"/>
  <c r="J89" i="8"/>
  <c r="F90" i="8"/>
  <c r="J90" i="8"/>
  <c r="F92" i="8"/>
  <c r="J92" i="8"/>
  <c r="F93" i="8"/>
  <c r="J93" i="8"/>
  <c r="F94" i="8"/>
  <c r="J94" i="8"/>
  <c r="F95" i="8"/>
  <c r="J95" i="8"/>
  <c r="F96" i="8"/>
  <c r="E103" i="8"/>
  <c r="I103" i="8"/>
  <c r="E99" i="8"/>
  <c r="I99" i="8"/>
  <c r="E100" i="8"/>
  <c r="I100" i="8"/>
  <c r="E101" i="8"/>
  <c r="I101" i="8"/>
  <c r="E102" i="8"/>
  <c r="I102" i="8"/>
  <c r="F60" i="8"/>
  <c r="F19" i="8"/>
  <c r="I38" i="8"/>
  <c r="E41" i="8"/>
  <c r="E43" i="8"/>
  <c r="D86" i="8"/>
  <c r="H87" i="8"/>
  <c r="D89" i="8"/>
  <c r="D92" i="8"/>
  <c r="D95" i="8"/>
  <c r="J60" i="8"/>
  <c r="F98" i="8"/>
  <c r="J98" i="8"/>
  <c r="F99" i="8"/>
  <c r="J99" i="8"/>
  <c r="F100" i="8"/>
  <c r="J100" i="8"/>
  <c r="F101" i="8"/>
  <c r="J101" i="8"/>
  <c r="F102" i="8"/>
  <c r="J102" i="8"/>
  <c r="E92" i="8"/>
  <c r="C98" i="8"/>
  <c r="F34" i="8"/>
  <c r="J33" i="8"/>
  <c r="E40" i="8"/>
  <c r="I41" i="8"/>
  <c r="I42" i="8"/>
  <c r="F36" i="8"/>
  <c r="H86" i="8"/>
  <c r="H89" i="8"/>
  <c r="H90" i="8"/>
  <c r="H94" i="8"/>
  <c r="H95" i="8"/>
  <c r="H96" i="8"/>
  <c r="G37" i="8"/>
  <c r="F23" i="8"/>
  <c r="J23" i="8"/>
  <c r="F41" i="8"/>
  <c r="J41" i="8"/>
  <c r="F43" i="8"/>
  <c r="J43" i="8"/>
  <c r="E86" i="8"/>
  <c r="I86" i="8"/>
  <c r="E88" i="8"/>
  <c r="I88" i="8"/>
  <c r="E89" i="8"/>
  <c r="I89" i="8"/>
  <c r="E90" i="8"/>
  <c r="I90" i="8"/>
  <c r="E93" i="8"/>
  <c r="I93" i="8"/>
  <c r="E94" i="8"/>
  <c r="I94" i="8"/>
  <c r="E95" i="8"/>
  <c r="I95" i="8"/>
  <c r="F86" i="8"/>
  <c r="I92" i="8"/>
  <c r="G98" i="8"/>
  <c r="H93" i="8"/>
  <c r="F33" i="8"/>
  <c r="J19" i="8"/>
  <c r="E38" i="8"/>
  <c r="E39" i="8" s="1"/>
  <c r="I40" i="8"/>
  <c r="E42" i="8"/>
  <c r="I43" i="8"/>
  <c r="J40" i="8"/>
  <c r="D87" i="8"/>
  <c r="D90" i="8"/>
  <c r="H92" i="8"/>
  <c r="D94" i="8"/>
  <c r="D96" i="8"/>
  <c r="G44" i="8"/>
  <c r="F28" i="8"/>
  <c r="F38" i="8"/>
  <c r="J96" i="8"/>
  <c r="C37" i="8"/>
  <c r="C44" i="8"/>
  <c r="J21" i="8"/>
  <c r="J28" i="8"/>
  <c r="J34" i="8"/>
  <c r="J38" i="8"/>
  <c r="J86" i="8"/>
  <c r="C35" i="8"/>
  <c r="G35" i="8"/>
  <c r="C39" i="8"/>
  <c r="G39" i="8"/>
  <c r="F66" i="8"/>
  <c r="H103" i="8"/>
  <c r="J66" i="8"/>
  <c r="C19" i="8"/>
  <c r="G19" i="8"/>
  <c r="C21" i="8"/>
  <c r="G21" i="8"/>
  <c r="C23" i="8"/>
  <c r="G23" i="8"/>
  <c r="C28" i="8"/>
  <c r="G28" i="8"/>
  <c r="C54" i="8"/>
  <c r="G54" i="8"/>
  <c r="G91" i="8" s="1"/>
  <c r="C60" i="8"/>
  <c r="G60" i="8"/>
  <c r="D98" i="8"/>
  <c r="H98" i="8"/>
  <c r="D19" i="8"/>
  <c r="H19" i="8"/>
  <c r="D21" i="8"/>
  <c r="H21" i="8"/>
  <c r="D23" i="8"/>
  <c r="H23" i="8"/>
  <c r="D28" i="8"/>
  <c r="H28" i="8"/>
  <c r="D54" i="8"/>
  <c r="H54" i="8"/>
  <c r="D60" i="8"/>
  <c r="H60" i="8"/>
  <c r="E98" i="8"/>
  <c r="I98" i="8"/>
  <c r="E19" i="8"/>
  <c r="I19" i="8"/>
  <c r="E21" i="8"/>
  <c r="I21" i="8"/>
  <c r="E23" i="8"/>
  <c r="I23" i="8"/>
  <c r="E28" i="8"/>
  <c r="I28" i="8"/>
  <c r="E54" i="8"/>
  <c r="I54" i="8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I174" i="7"/>
  <c r="I171" i="7"/>
  <c r="I131" i="7"/>
  <c r="I211" i="7" s="1"/>
  <c r="I44" i="7"/>
  <c r="I42" i="7"/>
  <c r="I39" i="7"/>
  <c r="I37" i="7"/>
  <c r="I35" i="7"/>
  <c r="I34" i="7"/>
  <c r="I29" i="7"/>
  <c r="I25" i="7"/>
  <c r="I24" i="7"/>
  <c r="I22" i="7"/>
  <c r="I20" i="7"/>
  <c r="AY112" i="1"/>
  <c r="AW112" i="1"/>
  <c r="AV112" i="1"/>
  <c r="AU112" i="1"/>
  <c r="AR112" i="1"/>
  <c r="AN112" i="1"/>
  <c r="AJ112" i="1"/>
  <c r="AF112" i="1"/>
  <c r="AB112" i="1"/>
  <c r="X112" i="1"/>
  <c r="T112" i="1"/>
  <c r="P112" i="1"/>
  <c r="L112" i="1"/>
  <c r="H112" i="1"/>
  <c r="D112" i="1"/>
  <c r="AU31" i="1"/>
  <c r="AR31" i="1"/>
  <c r="AN31" i="1"/>
  <c r="AJ31" i="1"/>
  <c r="AF31" i="1"/>
  <c r="AB31" i="1"/>
  <c r="X31" i="1"/>
  <c r="T31" i="1"/>
  <c r="P31" i="1"/>
  <c r="L31" i="1"/>
  <c r="H31" i="1"/>
  <c r="D31" i="1"/>
  <c r="AY31" i="1"/>
  <c r="AX145" i="1"/>
  <c r="AX137" i="1" s="1"/>
  <c r="AW145" i="1"/>
  <c r="AW137" i="1" s="1"/>
  <c r="AU145" i="1"/>
  <c r="AT145" i="1"/>
  <c r="AS145" i="1"/>
  <c r="AR145" i="1"/>
  <c r="AR137" i="1" s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B137" i="1" s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L137" i="1" s="1"/>
  <c r="K145" i="1"/>
  <c r="J145" i="1"/>
  <c r="I145" i="1"/>
  <c r="H145" i="1"/>
  <c r="G145" i="1"/>
  <c r="F145" i="1"/>
  <c r="E145" i="1"/>
  <c r="D145" i="1"/>
  <c r="C145" i="1"/>
  <c r="AX142" i="1"/>
  <c r="AW142" i="1"/>
  <c r="AV142" i="1"/>
  <c r="AT142" i="1"/>
  <c r="AT137" i="1" s="1"/>
  <c r="AS142" i="1"/>
  <c r="AR142" i="1"/>
  <c r="AQ142" i="1"/>
  <c r="AP142" i="1"/>
  <c r="AO142" i="1"/>
  <c r="AN142" i="1"/>
  <c r="AN137" i="1" s="1"/>
  <c r="AM142" i="1"/>
  <c r="AM137" i="1" s="1"/>
  <c r="AL142" i="1"/>
  <c r="AK142" i="1"/>
  <c r="AJ142" i="1"/>
  <c r="AJ137" i="1" s="1"/>
  <c r="AI142" i="1"/>
  <c r="AI137" i="1" s="1"/>
  <c r="AH142" i="1"/>
  <c r="AG142" i="1"/>
  <c r="AF142" i="1"/>
  <c r="AE142" i="1"/>
  <c r="AE137" i="1" s="1"/>
  <c r="AD142" i="1"/>
  <c r="AD137" i="1" s="1"/>
  <c r="AC142" i="1"/>
  <c r="AB142" i="1"/>
  <c r="AA142" i="1"/>
  <c r="Z142" i="1"/>
  <c r="Y142" i="1"/>
  <c r="X142" i="1"/>
  <c r="X137" i="1" s="1"/>
  <c r="W142" i="1"/>
  <c r="W137" i="1" s="1"/>
  <c r="V142" i="1"/>
  <c r="U142" i="1"/>
  <c r="T142" i="1"/>
  <c r="T137" i="1" s="1"/>
  <c r="S142" i="1"/>
  <c r="S137" i="1" s="1"/>
  <c r="R142" i="1"/>
  <c r="Q142" i="1"/>
  <c r="P142" i="1"/>
  <c r="O142" i="1"/>
  <c r="O137" i="1" s="1"/>
  <c r="N142" i="1"/>
  <c r="N137" i="1" s="1"/>
  <c r="M142" i="1"/>
  <c r="L142" i="1"/>
  <c r="K142" i="1"/>
  <c r="J142" i="1"/>
  <c r="I142" i="1"/>
  <c r="H142" i="1"/>
  <c r="H137" i="1" s="1"/>
  <c r="G142" i="1"/>
  <c r="G137" i="1" s="1"/>
  <c r="F142" i="1"/>
  <c r="E142" i="1"/>
  <c r="D142" i="1"/>
  <c r="D137" i="1" s="1"/>
  <c r="C142" i="1"/>
  <c r="C137" i="1" s="1"/>
  <c r="AY137" i="1"/>
  <c r="AV137" i="1"/>
  <c r="AU137" i="1"/>
  <c r="AQ137" i="1"/>
  <c r="AP137" i="1"/>
  <c r="AL137" i="1"/>
  <c r="AH137" i="1"/>
  <c r="AF137" i="1"/>
  <c r="AA137" i="1"/>
  <c r="Z137" i="1"/>
  <c r="V137" i="1"/>
  <c r="R137" i="1"/>
  <c r="P137" i="1"/>
  <c r="K137" i="1"/>
  <c r="J137" i="1"/>
  <c r="F137" i="1"/>
  <c r="AX135" i="1"/>
  <c r="AW135" i="1"/>
  <c r="AV135" i="1"/>
  <c r="AT135" i="1"/>
  <c r="AS135" i="1"/>
  <c r="AR135" i="1"/>
  <c r="AR126" i="1" s="1"/>
  <c r="AQ135" i="1"/>
  <c r="AP135" i="1"/>
  <c r="AO135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X130" i="1"/>
  <c r="AX126" i="1" s="1"/>
  <c r="AW130" i="1"/>
  <c r="AW126" i="1" s="1"/>
  <c r="AV130" i="1"/>
  <c r="AU130" i="1"/>
  <c r="AT130" i="1"/>
  <c r="AT126" i="1" s="1"/>
  <c r="AS130" i="1"/>
  <c r="AS126" i="1" s="1"/>
  <c r="AR130" i="1"/>
  <c r="AQ130" i="1"/>
  <c r="AP130" i="1"/>
  <c r="AP126" i="1" s="1"/>
  <c r="AO130" i="1"/>
  <c r="AO126" i="1" s="1"/>
  <c r="AN130" i="1"/>
  <c r="AM130" i="1"/>
  <c r="AL130" i="1"/>
  <c r="AL126" i="1" s="1"/>
  <c r="AK130" i="1"/>
  <c r="AK126" i="1" s="1"/>
  <c r="AJ130" i="1"/>
  <c r="AI130" i="1"/>
  <c r="AH130" i="1"/>
  <c r="AH126" i="1" s="1"/>
  <c r="AG130" i="1"/>
  <c r="AG126" i="1" s="1"/>
  <c r="AF130" i="1"/>
  <c r="AE130" i="1"/>
  <c r="AD130" i="1"/>
  <c r="AD126" i="1" s="1"/>
  <c r="AC130" i="1"/>
  <c r="AC126" i="1" s="1"/>
  <c r="AB130" i="1"/>
  <c r="AA130" i="1"/>
  <c r="Z130" i="1"/>
  <c r="Z126" i="1" s="1"/>
  <c r="Y130" i="1"/>
  <c r="Y126" i="1" s="1"/>
  <c r="X130" i="1"/>
  <c r="W130" i="1"/>
  <c r="V130" i="1"/>
  <c r="V126" i="1" s="1"/>
  <c r="U130" i="1"/>
  <c r="U126" i="1" s="1"/>
  <c r="T130" i="1"/>
  <c r="S130" i="1"/>
  <c r="R130" i="1"/>
  <c r="R126" i="1" s="1"/>
  <c r="Q130" i="1"/>
  <c r="Q126" i="1" s="1"/>
  <c r="P130" i="1"/>
  <c r="O130" i="1"/>
  <c r="N130" i="1"/>
  <c r="N126" i="1" s="1"/>
  <c r="M130" i="1"/>
  <c r="M126" i="1" s="1"/>
  <c r="L130" i="1"/>
  <c r="K130" i="1"/>
  <c r="J130" i="1"/>
  <c r="J126" i="1" s="1"/>
  <c r="I130" i="1"/>
  <c r="I126" i="1" s="1"/>
  <c r="H130" i="1"/>
  <c r="G130" i="1"/>
  <c r="F130" i="1"/>
  <c r="F126" i="1" s="1"/>
  <c r="E130" i="1"/>
  <c r="E126" i="1" s="1"/>
  <c r="D130" i="1"/>
  <c r="C130" i="1"/>
  <c r="AY126" i="1"/>
  <c r="AV126" i="1"/>
  <c r="AU126" i="1"/>
  <c r="AQ126" i="1"/>
  <c r="AN126" i="1"/>
  <c r="AM126" i="1"/>
  <c r="AJ126" i="1"/>
  <c r="AI126" i="1"/>
  <c r="AF126" i="1"/>
  <c r="AE126" i="1"/>
  <c r="AB126" i="1"/>
  <c r="AA126" i="1"/>
  <c r="X126" i="1"/>
  <c r="W126" i="1"/>
  <c r="T126" i="1"/>
  <c r="S126" i="1"/>
  <c r="P126" i="1"/>
  <c r="O126" i="1"/>
  <c r="L126" i="1"/>
  <c r="K126" i="1"/>
  <c r="H126" i="1"/>
  <c r="G126" i="1"/>
  <c r="D126" i="1"/>
  <c r="C126" i="1"/>
  <c r="AX124" i="1"/>
  <c r="AW124" i="1"/>
  <c r="AT124" i="1"/>
  <c r="AS124" i="1"/>
  <c r="AX121" i="1"/>
  <c r="AW121" i="1"/>
  <c r="AV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X118" i="1"/>
  <c r="AX112" i="1" s="1"/>
  <c r="AW118" i="1"/>
  <c r="AV118" i="1"/>
  <c r="AT118" i="1"/>
  <c r="AT112" i="1" s="1"/>
  <c r="AS118" i="1"/>
  <c r="AS112" i="1" s="1"/>
  <c r="AR118" i="1"/>
  <c r="AQ118" i="1"/>
  <c r="AQ112" i="1" s="1"/>
  <c r="AP118" i="1"/>
  <c r="AP112" i="1" s="1"/>
  <c r="AO118" i="1"/>
  <c r="AO112" i="1" s="1"/>
  <c r="AN118" i="1"/>
  <c r="AM118" i="1"/>
  <c r="AM112" i="1" s="1"/>
  <c r="AL118" i="1"/>
  <c r="AL112" i="1" s="1"/>
  <c r="AK118" i="1"/>
  <c r="AK112" i="1" s="1"/>
  <c r="AJ118" i="1"/>
  <c r="AI118" i="1"/>
  <c r="AI112" i="1" s="1"/>
  <c r="AH118" i="1"/>
  <c r="AH112" i="1" s="1"/>
  <c r="AG118" i="1"/>
  <c r="AG112" i="1" s="1"/>
  <c r="AF118" i="1"/>
  <c r="AE118" i="1"/>
  <c r="AE112" i="1" s="1"/>
  <c r="AD118" i="1"/>
  <c r="AD112" i="1" s="1"/>
  <c r="AC118" i="1"/>
  <c r="AC112" i="1" s="1"/>
  <c r="AB118" i="1"/>
  <c r="AA118" i="1"/>
  <c r="AA112" i="1" s="1"/>
  <c r="Z118" i="1"/>
  <c r="Z112" i="1" s="1"/>
  <c r="Y118" i="1"/>
  <c r="Y112" i="1" s="1"/>
  <c r="X118" i="1"/>
  <c r="W118" i="1"/>
  <c r="W112" i="1" s="1"/>
  <c r="V118" i="1"/>
  <c r="V112" i="1" s="1"/>
  <c r="U118" i="1"/>
  <c r="U112" i="1" s="1"/>
  <c r="T118" i="1"/>
  <c r="S118" i="1"/>
  <c r="S112" i="1" s="1"/>
  <c r="R118" i="1"/>
  <c r="R112" i="1" s="1"/>
  <c r="Q118" i="1"/>
  <c r="Q112" i="1" s="1"/>
  <c r="P118" i="1"/>
  <c r="O118" i="1"/>
  <c r="O112" i="1" s="1"/>
  <c r="N118" i="1"/>
  <c r="N112" i="1" s="1"/>
  <c r="M118" i="1"/>
  <c r="M112" i="1" s="1"/>
  <c r="L118" i="1"/>
  <c r="K118" i="1"/>
  <c r="K112" i="1" s="1"/>
  <c r="J118" i="1"/>
  <c r="J112" i="1" s="1"/>
  <c r="I118" i="1"/>
  <c r="I112" i="1" s="1"/>
  <c r="H118" i="1"/>
  <c r="G118" i="1"/>
  <c r="G112" i="1" s="1"/>
  <c r="F118" i="1"/>
  <c r="F112" i="1" s="1"/>
  <c r="E118" i="1"/>
  <c r="E112" i="1" s="1"/>
  <c r="D118" i="1"/>
  <c r="C118" i="1"/>
  <c r="C112" i="1" s="1"/>
  <c r="AX64" i="1"/>
  <c r="AX56" i="1" s="1"/>
  <c r="AW64" i="1"/>
  <c r="AW56" i="1" s="1"/>
  <c r="AV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F56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P56" i="1" s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1" i="1"/>
  <c r="AW61" i="1"/>
  <c r="AV61" i="1"/>
  <c r="AT61" i="1"/>
  <c r="AS61" i="1"/>
  <c r="AR61" i="1"/>
  <c r="AR56" i="1" s="1"/>
  <c r="AQ61" i="1"/>
  <c r="AQ56" i="1" s="1"/>
  <c r="AP61" i="1"/>
  <c r="AO61" i="1"/>
  <c r="AN61" i="1"/>
  <c r="AN56" i="1" s="1"/>
  <c r="AM61" i="1"/>
  <c r="AM56" i="1" s="1"/>
  <c r="AL61" i="1"/>
  <c r="AK61" i="1"/>
  <c r="AJ61" i="1"/>
  <c r="AI61" i="1"/>
  <c r="AI56" i="1" s="1"/>
  <c r="AH61" i="1"/>
  <c r="AG61" i="1"/>
  <c r="AF61" i="1"/>
  <c r="AE61" i="1"/>
  <c r="AD61" i="1"/>
  <c r="AC61" i="1"/>
  <c r="AB61" i="1"/>
  <c r="AB56" i="1" s="1"/>
  <c r="AA61" i="1"/>
  <c r="AA56" i="1" s="1"/>
  <c r="Z61" i="1"/>
  <c r="Y61" i="1"/>
  <c r="X61" i="1"/>
  <c r="X56" i="1" s="1"/>
  <c r="W61" i="1"/>
  <c r="W56" i="1" s="1"/>
  <c r="V61" i="1"/>
  <c r="U61" i="1"/>
  <c r="T61" i="1"/>
  <c r="S61" i="1"/>
  <c r="S56" i="1" s="1"/>
  <c r="R61" i="1"/>
  <c r="Q61" i="1"/>
  <c r="P61" i="1"/>
  <c r="O61" i="1"/>
  <c r="N61" i="1"/>
  <c r="M61" i="1"/>
  <c r="L61" i="1"/>
  <c r="L56" i="1" s="1"/>
  <c r="K61" i="1"/>
  <c r="K56" i="1" s="1"/>
  <c r="J61" i="1"/>
  <c r="I61" i="1"/>
  <c r="H61" i="1"/>
  <c r="H56" i="1" s="1"/>
  <c r="G61" i="1"/>
  <c r="G56" i="1" s="1"/>
  <c r="F61" i="1"/>
  <c r="E61" i="1"/>
  <c r="D61" i="1"/>
  <c r="C61" i="1"/>
  <c r="C56" i="1" s="1"/>
  <c r="AY56" i="1"/>
  <c r="AU56" i="1"/>
  <c r="AT56" i="1"/>
  <c r="AP56" i="1"/>
  <c r="AL56" i="1"/>
  <c r="AJ56" i="1"/>
  <c r="AH56" i="1"/>
  <c r="AE56" i="1"/>
  <c r="AD56" i="1"/>
  <c r="Z56" i="1"/>
  <c r="V56" i="1"/>
  <c r="T56" i="1"/>
  <c r="R56" i="1"/>
  <c r="O56" i="1"/>
  <c r="N56" i="1"/>
  <c r="J56" i="1"/>
  <c r="F56" i="1"/>
  <c r="D56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P45" i="1" s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49" i="1"/>
  <c r="AW49" i="1"/>
  <c r="AV49" i="1"/>
  <c r="AV45" i="1" s="1"/>
  <c r="AU49" i="1"/>
  <c r="AU45" i="1" s="1"/>
  <c r="AT49" i="1"/>
  <c r="AS49" i="1"/>
  <c r="AR49" i="1"/>
  <c r="AQ49" i="1"/>
  <c r="AQ45" i="1" s="1"/>
  <c r="AP49" i="1"/>
  <c r="AP45" i="1" s="1"/>
  <c r="AO49" i="1"/>
  <c r="AO45" i="1" s="1"/>
  <c r="AN49" i="1"/>
  <c r="AN45" i="1" s="1"/>
  <c r="AM49" i="1"/>
  <c r="AM45" i="1" s="1"/>
  <c r="AL49" i="1"/>
  <c r="AK49" i="1"/>
  <c r="AK45" i="1" s="1"/>
  <c r="AJ49" i="1"/>
  <c r="AJ45" i="1" s="1"/>
  <c r="AI49" i="1"/>
  <c r="AI45" i="1" s="1"/>
  <c r="AH49" i="1"/>
  <c r="AH45" i="1" s="1"/>
  <c r="AG49" i="1"/>
  <c r="AF49" i="1"/>
  <c r="AE49" i="1"/>
  <c r="AE45" i="1" s="1"/>
  <c r="AD49" i="1"/>
  <c r="AD45" i="1" s="1"/>
  <c r="AC49" i="1"/>
  <c r="AC45" i="1" s="1"/>
  <c r="AB49" i="1"/>
  <c r="AB45" i="1" s="1"/>
  <c r="AA49" i="1"/>
  <c r="AA45" i="1" s="1"/>
  <c r="Z49" i="1"/>
  <c r="Y49" i="1"/>
  <c r="Y45" i="1" s="1"/>
  <c r="X49" i="1"/>
  <c r="X45" i="1" s="1"/>
  <c r="W49" i="1"/>
  <c r="W45" i="1" s="1"/>
  <c r="V49" i="1"/>
  <c r="U49" i="1"/>
  <c r="T49" i="1"/>
  <c r="T45" i="1" s="1"/>
  <c r="S49" i="1"/>
  <c r="S45" i="1" s="1"/>
  <c r="R49" i="1"/>
  <c r="Q49" i="1"/>
  <c r="P49" i="1"/>
  <c r="O49" i="1"/>
  <c r="O45" i="1" s="1"/>
  <c r="N49" i="1"/>
  <c r="N45" i="1" s="1"/>
  <c r="M49" i="1"/>
  <c r="M45" i="1" s="1"/>
  <c r="L49" i="1"/>
  <c r="L45" i="1" s="1"/>
  <c r="K49" i="1"/>
  <c r="K45" i="1" s="1"/>
  <c r="J49" i="1"/>
  <c r="I49" i="1"/>
  <c r="I45" i="1" s="1"/>
  <c r="H49" i="1"/>
  <c r="H45" i="1" s="1"/>
  <c r="G49" i="1"/>
  <c r="G45" i="1" s="1"/>
  <c r="F49" i="1"/>
  <c r="E49" i="1"/>
  <c r="D49" i="1"/>
  <c r="D45" i="1" s="1"/>
  <c r="C49" i="1"/>
  <c r="C45" i="1" s="1"/>
  <c r="AY45" i="1"/>
  <c r="AX45" i="1"/>
  <c r="AW45" i="1"/>
  <c r="AT45" i="1"/>
  <c r="AS45" i="1"/>
  <c r="AR45" i="1"/>
  <c r="AL45" i="1"/>
  <c r="AG45" i="1"/>
  <c r="AF45" i="1"/>
  <c r="Z45" i="1"/>
  <c r="V45" i="1"/>
  <c r="U45" i="1"/>
  <c r="R45" i="1"/>
  <c r="Q45" i="1"/>
  <c r="J45" i="1"/>
  <c r="F45" i="1"/>
  <c r="E45" i="1"/>
  <c r="AX43" i="1"/>
  <c r="AW43" i="1"/>
  <c r="AT43" i="1"/>
  <c r="AS43" i="1"/>
  <c r="AX40" i="1"/>
  <c r="AW40" i="1"/>
  <c r="AV40" i="1"/>
  <c r="AV31" i="1" s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7" i="1"/>
  <c r="AX31" i="1" s="1"/>
  <c r="AW37" i="1"/>
  <c r="AW31" i="1" s="1"/>
  <c r="AV37" i="1"/>
  <c r="AT37" i="1"/>
  <c r="AT31" i="1" s="1"/>
  <c r="AS37" i="1"/>
  <c r="AS31" i="1" s="1"/>
  <c r="AR37" i="1"/>
  <c r="AQ37" i="1"/>
  <c r="AQ31" i="1" s="1"/>
  <c r="AP37" i="1"/>
  <c r="AP31" i="1" s="1"/>
  <c r="AO37" i="1"/>
  <c r="AO31" i="1" s="1"/>
  <c r="AN37" i="1"/>
  <c r="AM37" i="1"/>
  <c r="AM31" i="1" s="1"/>
  <c r="AL37" i="1"/>
  <c r="AL31" i="1" s="1"/>
  <c r="AK37" i="1"/>
  <c r="AK31" i="1" s="1"/>
  <c r="AJ37" i="1"/>
  <c r="AI37" i="1"/>
  <c r="AI31" i="1" s="1"/>
  <c r="AH37" i="1"/>
  <c r="AH31" i="1" s="1"/>
  <c r="AG37" i="1"/>
  <c r="AG31" i="1" s="1"/>
  <c r="AF37" i="1"/>
  <c r="AE37" i="1"/>
  <c r="AE31" i="1" s="1"/>
  <c r="AD37" i="1"/>
  <c r="AD31" i="1" s="1"/>
  <c r="AC37" i="1"/>
  <c r="AC31" i="1" s="1"/>
  <c r="AB37" i="1"/>
  <c r="AA37" i="1"/>
  <c r="AA31" i="1" s="1"/>
  <c r="Z37" i="1"/>
  <c r="Z31" i="1" s="1"/>
  <c r="Y37" i="1"/>
  <c r="Y31" i="1" s="1"/>
  <c r="X37" i="1"/>
  <c r="W37" i="1"/>
  <c r="W31" i="1" s="1"/>
  <c r="V37" i="1"/>
  <c r="V31" i="1" s="1"/>
  <c r="U37" i="1"/>
  <c r="U31" i="1" s="1"/>
  <c r="T37" i="1"/>
  <c r="S37" i="1"/>
  <c r="S31" i="1" s="1"/>
  <c r="R37" i="1"/>
  <c r="R31" i="1" s="1"/>
  <c r="Q37" i="1"/>
  <c r="Q31" i="1" s="1"/>
  <c r="P37" i="1"/>
  <c r="O37" i="1"/>
  <c r="O31" i="1" s="1"/>
  <c r="N37" i="1"/>
  <c r="N31" i="1" s="1"/>
  <c r="M37" i="1"/>
  <c r="M31" i="1" s="1"/>
  <c r="L37" i="1"/>
  <c r="K37" i="1"/>
  <c r="K31" i="1" s="1"/>
  <c r="J37" i="1"/>
  <c r="J31" i="1" s="1"/>
  <c r="I37" i="1"/>
  <c r="I31" i="1" s="1"/>
  <c r="H37" i="1"/>
  <c r="G37" i="1"/>
  <c r="G31" i="1" s="1"/>
  <c r="F37" i="1"/>
  <c r="F31" i="1" s="1"/>
  <c r="E37" i="1"/>
  <c r="E31" i="1" s="1"/>
  <c r="D37" i="1"/>
  <c r="C37" i="1"/>
  <c r="C31" i="1" s="1"/>
  <c r="AY107" i="1"/>
  <c r="AY106" i="1"/>
  <c r="AY91" i="1"/>
  <c r="AY26" i="1"/>
  <c r="AY25" i="1"/>
  <c r="AY10" i="1"/>
  <c r="E56" i="1" l="1"/>
  <c r="I56" i="1"/>
  <c r="M56" i="1"/>
  <c r="Q56" i="1"/>
  <c r="U56" i="1"/>
  <c r="Y56" i="1"/>
  <c r="AC56" i="1"/>
  <c r="AG56" i="1"/>
  <c r="AK56" i="1"/>
  <c r="AO56" i="1"/>
  <c r="AS56" i="1"/>
  <c r="E137" i="1"/>
  <c r="I137" i="1"/>
  <c r="M137" i="1"/>
  <c r="Q137" i="1"/>
  <c r="U137" i="1"/>
  <c r="Y137" i="1"/>
  <c r="AC137" i="1"/>
  <c r="AG137" i="1"/>
  <c r="AK137" i="1"/>
  <c r="AO137" i="1"/>
  <c r="AS137" i="1"/>
  <c r="D103" i="8"/>
  <c r="D37" i="8"/>
  <c r="F35" i="8"/>
  <c r="C97" i="8"/>
  <c r="I97" i="8"/>
  <c r="E44" i="8"/>
  <c r="F97" i="8"/>
  <c r="E35" i="8"/>
  <c r="D44" i="8"/>
  <c r="D39" i="8"/>
  <c r="D35" i="8"/>
  <c r="C91" i="8"/>
  <c r="F103" i="8"/>
  <c r="G97" i="8"/>
  <c r="J103" i="8"/>
  <c r="J97" i="8"/>
  <c r="H35" i="8"/>
  <c r="H44" i="8"/>
  <c r="H39" i="8"/>
  <c r="D91" i="8"/>
  <c r="I39" i="8"/>
  <c r="I37" i="8"/>
  <c r="J37" i="8"/>
  <c r="J39" i="8"/>
  <c r="I35" i="8"/>
  <c r="I44" i="8"/>
  <c r="I40" i="7"/>
  <c r="J41" i="7"/>
  <c r="I38" i="7"/>
  <c r="I36" i="7"/>
  <c r="I45" i="7"/>
  <c r="F37" i="8"/>
  <c r="F44" i="8"/>
  <c r="J44" i="8"/>
  <c r="J35" i="8"/>
  <c r="F39" i="8"/>
  <c r="E91" i="8"/>
  <c r="D97" i="8"/>
  <c r="H91" i="8"/>
  <c r="F91" i="8"/>
  <c r="I91" i="8"/>
  <c r="H97" i="8"/>
  <c r="E97" i="8"/>
  <c r="J91" i="8"/>
  <c r="AV56" i="1"/>
  <c r="AX107" i="1"/>
  <c r="AW107" i="1"/>
  <c r="AV107" i="1"/>
  <c r="AU107" i="1"/>
  <c r="AT107" i="1"/>
  <c r="AX106" i="1"/>
  <c r="AW106" i="1"/>
  <c r="AV106" i="1"/>
  <c r="AU106" i="1"/>
  <c r="AT106" i="1"/>
  <c r="AX91" i="1"/>
  <c r="AW91" i="1"/>
  <c r="AV91" i="1"/>
  <c r="AU91" i="1"/>
  <c r="AT91" i="1"/>
  <c r="AX26" i="1"/>
  <c r="AW26" i="1"/>
  <c r="AV26" i="1"/>
  <c r="AU26" i="1"/>
  <c r="AT26" i="1"/>
  <c r="AX25" i="1"/>
  <c r="AW25" i="1"/>
  <c r="AV25" i="1"/>
  <c r="AU25" i="1"/>
  <c r="AT25" i="1"/>
  <c r="AX10" i="1"/>
  <c r="AW10" i="1"/>
  <c r="AV10" i="1"/>
  <c r="AU10" i="1"/>
  <c r="AT10" i="1"/>
  <c r="H217" i="7" l="1"/>
  <c r="G217" i="7"/>
  <c r="H216" i="7"/>
  <c r="G216" i="7"/>
  <c r="H215" i="7"/>
  <c r="G215" i="7"/>
  <c r="H214" i="7"/>
  <c r="G214" i="7"/>
  <c r="H213" i="7"/>
  <c r="G213" i="7"/>
  <c r="H212" i="7"/>
  <c r="G212" i="7"/>
  <c r="F212" i="7"/>
  <c r="E212" i="7"/>
  <c r="D212" i="7"/>
  <c r="C212" i="7"/>
  <c r="H210" i="7"/>
  <c r="G210" i="7"/>
  <c r="F210" i="7"/>
  <c r="E210" i="7"/>
  <c r="D210" i="7"/>
  <c r="C210" i="7"/>
  <c r="H209" i="7"/>
  <c r="G209" i="7"/>
  <c r="F209" i="7"/>
  <c r="H174" i="7"/>
  <c r="H171" i="7"/>
  <c r="H131" i="7"/>
  <c r="H211" i="7" s="1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H44" i="7"/>
  <c r="H42" i="7"/>
  <c r="H39" i="7"/>
  <c r="H37" i="7"/>
  <c r="H35" i="7"/>
  <c r="H34" i="7"/>
  <c r="H29" i="7"/>
  <c r="H27" i="7"/>
  <c r="I43" i="7" s="1"/>
  <c r="H25" i="7"/>
  <c r="I41" i="7" s="1"/>
  <c r="H24" i="7"/>
  <c r="H22" i="7"/>
  <c r="H20" i="7"/>
  <c r="AS107" i="1"/>
  <c r="AS106" i="1"/>
  <c r="AS91" i="1"/>
  <c r="H43" i="7" l="1"/>
  <c r="H40" i="7"/>
  <c r="H38" i="7"/>
  <c r="H45" i="7"/>
  <c r="H36" i="7"/>
  <c r="G174" i="7"/>
  <c r="F174" i="7"/>
  <c r="E174" i="7"/>
  <c r="C174" i="7"/>
  <c r="G171" i="7"/>
  <c r="F171" i="7"/>
  <c r="E171" i="7"/>
  <c r="D171" i="7"/>
  <c r="C171" i="7"/>
  <c r="G131" i="7"/>
  <c r="G211" i="7" s="1"/>
  <c r="F131" i="7"/>
  <c r="F211" i="7" s="1"/>
  <c r="E131" i="7"/>
  <c r="E211" i="7" s="1"/>
  <c r="D131" i="7"/>
  <c r="D211" i="7" s="1"/>
  <c r="C131" i="7"/>
  <c r="C211" i="7" s="1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F41" i="7"/>
  <c r="E41" i="7"/>
  <c r="D41" i="7"/>
  <c r="C41" i="7"/>
  <c r="G39" i="7"/>
  <c r="F39" i="7"/>
  <c r="E39" i="7"/>
  <c r="D39" i="7"/>
  <c r="C39" i="7"/>
  <c r="G37" i="7"/>
  <c r="F37" i="7"/>
  <c r="E37" i="7"/>
  <c r="D37" i="7"/>
  <c r="C37" i="7"/>
  <c r="G35" i="7"/>
  <c r="F35" i="7"/>
  <c r="E35" i="7"/>
  <c r="D35" i="7"/>
  <c r="C35" i="7"/>
  <c r="G34" i="7"/>
  <c r="F34" i="7"/>
  <c r="F40" i="7" s="1"/>
  <c r="E34" i="7"/>
  <c r="D34" i="7"/>
  <c r="C34" i="7"/>
  <c r="G29" i="7"/>
  <c r="G25" i="7"/>
  <c r="G41" i="7" s="1"/>
  <c r="G24" i="7"/>
  <c r="G22" i="7"/>
  <c r="G20" i="7"/>
  <c r="AS26" i="1"/>
  <c r="AR26" i="1"/>
  <c r="AS25" i="1"/>
  <c r="AR25" i="1"/>
  <c r="F36" i="7" l="1"/>
  <c r="C36" i="7"/>
  <c r="D38" i="7"/>
  <c r="G36" i="7"/>
  <c r="C45" i="7"/>
  <c r="H41" i="7"/>
  <c r="F38" i="7"/>
  <c r="E45" i="7"/>
  <c r="F45" i="7"/>
  <c r="E36" i="7"/>
  <c r="G38" i="7"/>
  <c r="C40" i="7"/>
  <c r="G45" i="7"/>
  <c r="E40" i="7"/>
  <c r="C38" i="7"/>
  <c r="G40" i="7"/>
  <c r="E38" i="7"/>
  <c r="D45" i="7"/>
  <c r="D40" i="7"/>
  <c r="D36" i="7"/>
  <c r="AR99" i="2"/>
  <c r="AV192" i="2" l="1"/>
  <c r="AV191" i="2"/>
  <c r="AV190" i="2"/>
  <c r="AV90" i="2"/>
  <c r="AV153" i="2" l="1"/>
  <c r="AV150" i="2"/>
  <c r="AV188" i="2"/>
  <c r="AV186" i="2"/>
  <c r="AV111" i="2"/>
  <c r="AV187" i="2" s="1"/>
  <c r="AU82" i="2"/>
  <c r="AT82" i="2"/>
  <c r="AV76" i="2" l="1"/>
  <c r="AV23" i="2"/>
  <c r="AV185" i="2" l="1"/>
  <c r="AV42" i="2" l="1"/>
  <c r="AV41" i="2"/>
  <c r="AV40" i="2"/>
  <c r="AV37" i="2"/>
  <c r="AV38" i="2" s="1"/>
  <c r="AV35" i="2"/>
  <c r="AV33" i="2"/>
  <c r="AV32" i="2"/>
  <c r="AV36" i="2" s="1"/>
  <c r="AV34" i="2" l="1"/>
  <c r="AV43" i="2"/>
  <c r="AV99" i="2"/>
  <c r="AV98" i="2"/>
  <c r="AV96" i="2"/>
  <c r="AV95" i="2"/>
  <c r="AV94" i="2"/>
  <c r="AV93" i="2"/>
  <c r="AV92" i="2"/>
  <c r="AV91" i="2"/>
  <c r="AV88" i="2"/>
  <c r="AV87" i="2"/>
  <c r="AV86" i="2"/>
  <c r="AV85" i="2"/>
  <c r="AV84" i="2"/>
  <c r="AV83" i="2"/>
  <c r="AV82" i="2"/>
  <c r="AV80" i="2"/>
  <c r="AV79" i="2"/>
  <c r="AV78" i="2"/>
  <c r="AV77" i="2"/>
  <c r="AV100" i="2" l="1"/>
  <c r="AV27" i="2"/>
  <c r="AV22" i="2"/>
  <c r="AV20" i="2"/>
  <c r="AV18" i="2"/>
  <c r="C100" i="2" l="1"/>
  <c r="AQ93" i="2" l="1"/>
  <c r="AQ96" i="2"/>
  <c r="AQ88" i="2"/>
  <c r="AQ80" i="2"/>
  <c r="AR76" i="2"/>
  <c r="AU153" i="2" l="1"/>
  <c r="AU150" i="2"/>
  <c r="AU192" i="2"/>
  <c r="AU191" i="2"/>
  <c r="AU188" i="2"/>
  <c r="AU186" i="2"/>
  <c r="AU111" i="2"/>
  <c r="AU187" i="2" s="1"/>
  <c r="AU23" i="2"/>
  <c r="AV39" i="2" s="1"/>
  <c r="AU88" i="2"/>
  <c r="AT96" i="2"/>
  <c r="AU185" i="2" l="1"/>
  <c r="AU96" i="2" l="1"/>
  <c r="AU95" i="2"/>
  <c r="AU94" i="2"/>
  <c r="AU87" i="2"/>
  <c r="AU86" i="2"/>
  <c r="AU80" i="2"/>
  <c r="AU79" i="2"/>
  <c r="AU78" i="2"/>
  <c r="AU42" i="2"/>
  <c r="AU41" i="2"/>
  <c r="AU40" i="2"/>
  <c r="AU35" i="2"/>
  <c r="AU33" i="2"/>
  <c r="AU27" i="2"/>
  <c r="AU20" i="2"/>
  <c r="AU18" i="2"/>
  <c r="AQ98" i="2" l="1"/>
  <c r="AU99" i="2"/>
  <c r="AU98" i="2"/>
  <c r="AU97" i="2"/>
  <c r="AU93" i="2"/>
  <c r="AU92" i="2"/>
  <c r="AR89" i="2"/>
  <c r="AQ89" i="2"/>
  <c r="AP89" i="2"/>
  <c r="AR90" i="2"/>
  <c r="AQ90" i="2"/>
  <c r="AP90" i="2"/>
  <c r="AU85" i="2"/>
  <c r="AU84" i="2"/>
  <c r="AU90" i="2"/>
  <c r="AU89" i="2"/>
  <c r="AU91" i="2"/>
  <c r="AU83" i="2"/>
  <c r="AU81" i="2"/>
  <c r="AU77" i="2"/>
  <c r="AU76" i="2"/>
  <c r="AU37" i="2"/>
  <c r="AU38" i="2" s="1"/>
  <c r="AU32" i="2"/>
  <c r="AU43" i="2" s="1"/>
  <c r="AU22" i="2"/>
  <c r="AU36" i="2" l="1"/>
  <c r="AU34" i="2"/>
  <c r="AU100" i="2"/>
  <c r="AQ85" i="2"/>
  <c r="AP85" i="2"/>
  <c r="AT192" i="2" l="1"/>
  <c r="AT191" i="2"/>
  <c r="AT188" i="2"/>
  <c r="AT186" i="2"/>
  <c r="AT185" i="2"/>
  <c r="AT170" i="2"/>
  <c r="AT150" i="2"/>
  <c r="AT111" i="2"/>
  <c r="AT187" i="2" s="1"/>
  <c r="AT99" i="2"/>
  <c r="AT98" i="2"/>
  <c r="AT97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1" i="2"/>
  <c r="AT80" i="2"/>
  <c r="AT79" i="2"/>
  <c r="AT78" i="2"/>
  <c r="AT77" i="2"/>
  <c r="AT76" i="2"/>
  <c r="AT42" i="2"/>
  <c r="AT41" i="2"/>
  <c r="AT40" i="2"/>
  <c r="AT37" i="2"/>
  <c r="AT35" i="2"/>
  <c r="AT33" i="2"/>
  <c r="AT34" i="2" s="1"/>
  <c r="AT32" i="2"/>
  <c r="AT27" i="2"/>
  <c r="AT23" i="2"/>
  <c r="AU39" i="2" s="1"/>
  <c r="AT22" i="2"/>
  <c r="AT20" i="2"/>
  <c r="AT18" i="2"/>
  <c r="AT36" i="2" l="1"/>
  <c r="AT100" i="2"/>
  <c r="AT38" i="2"/>
  <c r="AT43" i="2"/>
  <c r="AP96" i="2"/>
  <c r="AO96" i="2"/>
  <c r="AP88" i="2"/>
  <c r="AO88" i="2"/>
  <c r="AO80" i="2"/>
  <c r="AP80" i="2"/>
  <c r="AS40" i="2" l="1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S41" i="2"/>
  <c r="AS192" i="2" l="1"/>
  <c r="AS191" i="2"/>
  <c r="AS188" i="2"/>
  <c r="AS186" i="2"/>
  <c r="AS185" i="2"/>
  <c r="AS153" i="2"/>
  <c r="AS150" i="2"/>
  <c r="AS111" i="2"/>
  <c r="AS187" i="2" s="1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100" i="2" s="1"/>
  <c r="AS42" i="2"/>
  <c r="AS37" i="2"/>
  <c r="AS35" i="2"/>
  <c r="AS33" i="2"/>
  <c r="AS32" i="2"/>
  <c r="AS27" i="2"/>
  <c r="AS23" i="2"/>
  <c r="AT39" i="2" s="1"/>
  <c r="AS22" i="2"/>
  <c r="AS20" i="2"/>
  <c r="AS18" i="2"/>
  <c r="AS10" i="1"/>
  <c r="AS39" i="2" l="1"/>
  <c r="AS34" i="2"/>
  <c r="AS43" i="2"/>
  <c r="AS36" i="2"/>
  <c r="AS38" i="2"/>
  <c r="AR192" i="2"/>
  <c r="AR191" i="2"/>
  <c r="AR188" i="2"/>
  <c r="AR186" i="2"/>
  <c r="AR185" i="2"/>
  <c r="AR153" i="2"/>
  <c r="AR150" i="2"/>
  <c r="AR111" i="2"/>
  <c r="AR187" i="2" s="1"/>
  <c r="AR98" i="2"/>
  <c r="AR97" i="2"/>
  <c r="AR96" i="2"/>
  <c r="AR95" i="2"/>
  <c r="AR94" i="2"/>
  <c r="AR93" i="2"/>
  <c r="AR92" i="2"/>
  <c r="AR100" i="2" s="1"/>
  <c r="AR91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42" i="2"/>
  <c r="AR41" i="2"/>
  <c r="AR37" i="2"/>
  <c r="AR35" i="2"/>
  <c r="AR33" i="2"/>
  <c r="AR32" i="2"/>
  <c r="AR27" i="2"/>
  <c r="AR23" i="2"/>
  <c r="AR22" i="2"/>
  <c r="AR20" i="2"/>
  <c r="AR18" i="2"/>
  <c r="AR107" i="1"/>
  <c r="AQ107" i="1"/>
  <c r="AP107" i="1"/>
  <c r="AO107" i="1"/>
  <c r="AN107" i="1"/>
  <c r="AM107" i="1"/>
  <c r="AR106" i="1"/>
  <c r="AQ106" i="1"/>
  <c r="AP106" i="1"/>
  <c r="AO106" i="1"/>
  <c r="AN106" i="1"/>
  <c r="AM106" i="1"/>
  <c r="AR91" i="1"/>
  <c r="AQ91" i="1"/>
  <c r="AP91" i="1"/>
  <c r="AO91" i="1"/>
  <c r="AN91" i="1"/>
  <c r="AM91" i="1"/>
  <c r="AQ26" i="1"/>
  <c r="AP26" i="1"/>
  <c r="AO26" i="1"/>
  <c r="AN26" i="1"/>
  <c r="AM26" i="1"/>
  <c r="AQ25" i="1"/>
  <c r="AP25" i="1"/>
  <c r="AO25" i="1"/>
  <c r="AN25" i="1"/>
  <c r="AM25" i="1"/>
  <c r="AR10" i="1"/>
  <c r="AQ10" i="1"/>
  <c r="AP10" i="1"/>
  <c r="AO10" i="1"/>
  <c r="AN10" i="1"/>
  <c r="AM10" i="1"/>
  <c r="AR34" i="2" l="1"/>
  <c r="AR38" i="2"/>
  <c r="AR43" i="2"/>
  <c r="AR36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P99" i="2"/>
  <c r="AO99" i="2"/>
  <c r="AN99" i="2"/>
  <c r="AP98" i="2"/>
  <c r="AO98" i="2"/>
  <c r="AN98" i="2"/>
  <c r="AQ97" i="2"/>
  <c r="AP97" i="2"/>
  <c r="AO97" i="2"/>
  <c r="AN97" i="2"/>
  <c r="AN96" i="2"/>
  <c r="AQ95" i="2"/>
  <c r="AP95" i="2"/>
  <c r="AO95" i="2"/>
  <c r="AN95" i="2"/>
  <c r="AQ94" i="2"/>
  <c r="AP94" i="2"/>
  <c r="AO94" i="2"/>
  <c r="AN94" i="2"/>
  <c r="AP93" i="2"/>
  <c r="AO93" i="2"/>
  <c r="AN93" i="2"/>
  <c r="AQ92" i="2"/>
  <c r="AP92" i="2"/>
  <c r="AO92" i="2"/>
  <c r="AN92" i="2"/>
  <c r="AN100" i="2" s="1"/>
  <c r="AQ91" i="2"/>
  <c r="AP91" i="2"/>
  <c r="AO91" i="2"/>
  <c r="AN91" i="2"/>
  <c r="AO90" i="2"/>
  <c r="AN90" i="2"/>
  <c r="AO89" i="2"/>
  <c r="AN89" i="2"/>
  <c r="AN88" i="2"/>
  <c r="AQ87" i="2"/>
  <c r="AP87" i="2"/>
  <c r="AO87" i="2"/>
  <c r="AN87" i="2"/>
  <c r="AQ86" i="2"/>
  <c r="AP86" i="2"/>
  <c r="AO86" i="2"/>
  <c r="AN86" i="2"/>
  <c r="AO85" i="2"/>
  <c r="AN85" i="2"/>
  <c r="AQ84" i="2"/>
  <c r="AP84" i="2"/>
  <c r="AO84" i="2"/>
  <c r="AN84" i="2"/>
  <c r="AQ83" i="2"/>
  <c r="AP83" i="2"/>
  <c r="AO83" i="2"/>
  <c r="AN83" i="2"/>
  <c r="AQ82" i="2"/>
  <c r="AP82" i="2"/>
  <c r="AO82" i="2"/>
  <c r="AN82" i="2"/>
  <c r="AQ81" i="2"/>
  <c r="AP81" i="2"/>
  <c r="AO81" i="2"/>
  <c r="AN81" i="2"/>
  <c r="AN80" i="2"/>
  <c r="AQ79" i="2"/>
  <c r="AP79" i="2"/>
  <c r="AO79" i="2"/>
  <c r="AN79" i="2"/>
  <c r="AQ78" i="2"/>
  <c r="AP78" i="2"/>
  <c r="AO78" i="2"/>
  <c r="AN78" i="2"/>
  <c r="AQ77" i="2"/>
  <c r="AP77" i="2"/>
  <c r="AO77" i="2"/>
  <c r="AN77" i="2"/>
  <c r="AQ76" i="2"/>
  <c r="AQ100" i="2" s="1"/>
  <c r="AP76" i="2"/>
  <c r="AO76" i="2"/>
  <c r="AN76" i="2"/>
  <c r="AO100" i="2" l="1"/>
  <c r="AM100" i="2"/>
  <c r="AP100" i="2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L107" i="1"/>
  <c r="AK107" i="1"/>
  <c r="AG25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192" i="2" l="1"/>
  <c r="AQ191" i="2"/>
  <c r="AQ170" i="2"/>
  <c r="AQ165" i="2"/>
  <c r="AQ179" i="2"/>
  <c r="AQ141" i="2"/>
  <c r="AQ153" i="2"/>
  <c r="AQ150" i="2"/>
  <c r="AQ111" i="2"/>
  <c r="AQ188" i="2" l="1"/>
  <c r="AQ187" i="2"/>
  <c r="AQ186" i="2"/>
  <c r="AQ185" i="2"/>
  <c r="AQ41" i="2"/>
  <c r="AQ39" i="2"/>
  <c r="AQ37" i="2"/>
  <c r="AQ35" i="2"/>
  <c r="AQ23" i="2"/>
  <c r="AR39" i="2" s="1"/>
  <c r="AQ33" i="2"/>
  <c r="AQ32" i="2"/>
  <c r="AQ27" i="2"/>
  <c r="AQ22" i="2"/>
  <c r="AQ20" i="2"/>
  <c r="AQ18" i="2"/>
  <c r="AK106" i="1"/>
  <c r="AG106" i="1"/>
  <c r="AC106" i="1"/>
  <c r="Y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38" i="2" l="1"/>
  <c r="AQ34" i="2"/>
  <c r="AQ43" i="2"/>
  <c r="AQ36" i="2"/>
  <c r="AP150" i="2" l="1"/>
  <c r="AP111" i="2"/>
  <c r="AP187" i="2" s="1"/>
  <c r="AP141" i="2" l="1"/>
  <c r="AP170" i="2"/>
  <c r="AP165" i="2"/>
  <c r="AP192" i="2"/>
  <c r="AP191" i="2"/>
  <c r="AP188" i="2"/>
  <c r="AP186" i="2"/>
  <c r="AP179" i="2"/>
  <c r="AP185" i="2"/>
  <c r="AO185" i="2"/>
  <c r="AP42" i="2"/>
  <c r="AP39" i="2"/>
  <c r="AP37" i="2"/>
  <c r="AP35" i="2"/>
  <c r="AP33" i="2"/>
  <c r="AP32" i="2"/>
  <c r="AP27" i="2"/>
  <c r="AP22" i="2"/>
  <c r="AP20" i="2"/>
  <c r="AP18" i="2"/>
  <c r="AP38" i="2" l="1"/>
  <c r="AP34" i="2"/>
  <c r="AP36" i="2"/>
  <c r="AP43" i="2"/>
  <c r="AO192" i="2"/>
  <c r="AO191" i="2"/>
  <c r="AO153" i="2" l="1"/>
  <c r="AO150" i="2"/>
  <c r="AO170" i="2"/>
  <c r="AO165" i="2"/>
  <c r="AO141" i="2"/>
  <c r="AO136" i="2"/>
  <c r="AO111" i="2"/>
  <c r="AO187" i="2" s="1"/>
  <c r="AO188" i="2"/>
  <c r="AO186" i="2"/>
  <c r="AO179" i="2"/>
  <c r="AO42" i="2"/>
  <c r="AO39" i="2"/>
  <c r="AO37" i="2"/>
  <c r="AO35" i="2"/>
  <c r="AO33" i="2"/>
  <c r="AO32" i="2"/>
  <c r="AO25" i="2"/>
  <c r="AO18" i="2"/>
  <c r="AO20" i="2"/>
  <c r="AO22" i="2"/>
  <c r="AO27" i="2"/>
  <c r="AO41" i="2" l="1"/>
  <c r="AP41" i="2"/>
  <c r="AO36" i="2"/>
  <c r="AO43" i="2"/>
  <c r="AO38" i="2"/>
  <c r="AO34" i="2"/>
  <c r="AN192" i="2"/>
  <c r="AN191" i="2"/>
  <c r="AN185" i="2"/>
  <c r="AN179" i="2"/>
  <c r="AN170" i="2"/>
  <c r="AN165" i="2"/>
  <c r="AN188" i="2"/>
  <c r="AN186" i="2"/>
  <c r="AN153" i="2"/>
  <c r="AN150" i="2"/>
  <c r="AN111" i="2"/>
  <c r="AN187" i="2" s="1"/>
  <c r="AN141" i="2"/>
  <c r="AN136" i="2"/>
  <c r="AN130" i="2"/>
  <c r="AN124" i="2"/>
  <c r="AN42" i="2"/>
  <c r="AN41" i="2"/>
  <c r="AN39" i="2"/>
  <c r="AN37" i="2"/>
  <c r="AN35" i="2"/>
  <c r="AN33" i="2"/>
  <c r="AN32" i="2"/>
  <c r="AN27" i="2"/>
  <c r="AN22" i="2"/>
  <c r="AN20" i="2"/>
  <c r="AN18" i="2"/>
  <c r="AN38" i="2" l="1"/>
  <c r="AN34" i="2"/>
  <c r="AN36" i="2"/>
  <c r="AN43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177" i="2"/>
  <c r="D179" i="2" s="1"/>
  <c r="T179" i="2"/>
  <c r="X175" i="2"/>
  <c r="X179" i="2" s="1"/>
  <c r="AG177" i="2"/>
  <c r="AF179" i="2"/>
  <c r="AJ179" i="2"/>
  <c r="AM179" i="2"/>
  <c r="AL179" i="2"/>
  <c r="AK179" i="2"/>
  <c r="AI179" i="2"/>
  <c r="AH179" i="2"/>
  <c r="AG179" i="2"/>
  <c r="AE179" i="2"/>
  <c r="AD179" i="2"/>
  <c r="AC179" i="2"/>
  <c r="AB179" i="2"/>
  <c r="AA179" i="2"/>
  <c r="Z179" i="2"/>
  <c r="Y179" i="2"/>
  <c r="W179" i="2"/>
  <c r="V179" i="2"/>
  <c r="U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C170" i="2"/>
  <c r="C165" i="2"/>
  <c r="E165" i="2"/>
  <c r="D165" i="2"/>
  <c r="D170" i="2"/>
  <c r="E170" i="2"/>
  <c r="F170" i="2"/>
  <c r="F165" i="2"/>
  <c r="G170" i="2"/>
  <c r="G165" i="2"/>
  <c r="H170" i="2"/>
  <c r="H165" i="2"/>
  <c r="I170" i="2"/>
  <c r="I165" i="2"/>
  <c r="M170" i="2"/>
  <c r="M165" i="2"/>
  <c r="J170" i="2"/>
  <c r="J165" i="2"/>
  <c r="K170" i="2"/>
  <c r="K165" i="2"/>
  <c r="L170" i="2"/>
  <c r="L165" i="2"/>
  <c r="N165" i="2"/>
  <c r="N170" i="2"/>
  <c r="O170" i="2"/>
  <c r="O165" i="2"/>
  <c r="P165" i="2"/>
  <c r="P170" i="2"/>
  <c r="Q165" i="2" l="1"/>
  <c r="Q170" i="2"/>
  <c r="R165" i="2"/>
  <c r="R170" i="2"/>
  <c r="S165" i="2"/>
  <c r="S170" i="2"/>
  <c r="T170" i="2"/>
  <c r="T165" i="2"/>
  <c r="U165" i="2"/>
  <c r="U170" i="2"/>
  <c r="V170" i="2"/>
  <c r="V165" i="2"/>
  <c r="W170" i="2"/>
  <c r="W165" i="2"/>
  <c r="X170" i="2"/>
  <c r="X165" i="2"/>
  <c r="AB170" i="2"/>
  <c r="AB165" i="2"/>
  <c r="Y170" i="2"/>
  <c r="Y165" i="2"/>
  <c r="AC170" i="2"/>
  <c r="AC165" i="2"/>
  <c r="Z170" i="2"/>
  <c r="Z165" i="2"/>
  <c r="AD165" i="2"/>
  <c r="AD170" i="2"/>
  <c r="AA165" i="2"/>
  <c r="AA170" i="2"/>
  <c r="AE170" i="2"/>
  <c r="AE165" i="2"/>
  <c r="AF170" i="2"/>
  <c r="AJ170" i="2"/>
  <c r="AF165" i="2"/>
  <c r="AJ165" i="2"/>
  <c r="AG170" i="2"/>
  <c r="AK170" i="2"/>
  <c r="AK165" i="2"/>
  <c r="AG165" i="2"/>
  <c r="AH170" i="2"/>
  <c r="AH165" i="2"/>
  <c r="AL170" i="2"/>
  <c r="AL165" i="2"/>
  <c r="AI170" i="2"/>
  <c r="AI165" i="2"/>
  <c r="AM170" i="2"/>
  <c r="AM165" i="2"/>
  <c r="I141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C130" i="2"/>
  <c r="I130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G141" i="2"/>
  <c r="F141" i="2"/>
  <c r="E141" i="2"/>
  <c r="D141" i="2"/>
  <c r="C141" i="2"/>
  <c r="J141" i="2"/>
  <c r="H141" i="2"/>
  <c r="K141" i="2"/>
  <c r="N141" i="2"/>
  <c r="M141" i="2"/>
  <c r="L141" i="2"/>
  <c r="O141" i="2"/>
  <c r="Q141" i="2"/>
  <c r="R141" i="2"/>
  <c r="P141" i="2"/>
  <c r="S141" i="2"/>
  <c r="U141" i="2"/>
  <c r="V141" i="2"/>
  <c r="T141" i="2"/>
  <c r="W141" i="2"/>
  <c r="Y141" i="2"/>
  <c r="Z141" i="2"/>
  <c r="X141" i="2"/>
  <c r="AA141" i="2"/>
  <c r="AC141" i="2"/>
  <c r="AD141" i="2"/>
  <c r="AB141" i="2"/>
  <c r="AE141" i="2"/>
  <c r="AG141" i="2" l="1"/>
  <c r="AH141" i="2"/>
  <c r="AF141" i="2"/>
  <c r="AI141" i="2"/>
  <c r="AK141" i="2"/>
  <c r="AM141" i="2"/>
  <c r="AL141" i="2"/>
  <c r="AJ141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H186" i="2"/>
  <c r="I186" i="2"/>
  <c r="J186" i="2"/>
  <c r="K186" i="2"/>
  <c r="L186" i="2"/>
  <c r="M186" i="2"/>
  <c r="D186" i="2"/>
  <c r="E186" i="2"/>
  <c r="F186" i="2"/>
  <c r="G186" i="2"/>
  <c r="C186" i="2"/>
  <c r="D37" i="2"/>
  <c r="C37" i="2"/>
  <c r="C38" i="2" s="1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L92" i="2"/>
  <c r="AK92" i="2"/>
  <c r="AJ92" i="2"/>
  <c r="AJ100" i="2" s="1"/>
  <c r="AI92" i="2"/>
  <c r="AH92" i="2"/>
  <c r="AH100" i="2" s="1"/>
  <c r="AG92" i="2"/>
  <c r="AG100" i="2" s="1"/>
  <c r="AF92" i="2"/>
  <c r="AE92" i="2"/>
  <c r="AE100" i="2" s="1"/>
  <c r="AD92" i="2"/>
  <c r="AC92" i="2"/>
  <c r="AB92" i="2"/>
  <c r="AB100" i="2" s="1"/>
  <c r="AA92" i="2"/>
  <c r="Z92" i="2"/>
  <c r="Z100" i="2" s="1"/>
  <c r="Y92" i="2"/>
  <c r="Y100" i="2" s="1"/>
  <c r="X92" i="2"/>
  <c r="W92" i="2"/>
  <c r="W100" i="2" s="1"/>
  <c r="V92" i="2"/>
  <c r="U92" i="2"/>
  <c r="T92" i="2"/>
  <c r="T100" i="2" s="1"/>
  <c r="S92" i="2"/>
  <c r="R92" i="2"/>
  <c r="R100" i="2" s="1"/>
  <c r="Q92" i="2"/>
  <c r="Q100" i="2" s="1"/>
  <c r="P92" i="2"/>
  <c r="O92" i="2"/>
  <c r="O100" i="2" s="1"/>
  <c r="N92" i="2"/>
  <c r="M92" i="2"/>
  <c r="L92" i="2"/>
  <c r="L100" i="2" s="1"/>
  <c r="K92" i="2"/>
  <c r="J92" i="2"/>
  <c r="J100" i="2" s="1"/>
  <c r="I92" i="2"/>
  <c r="I100" i="2" s="1"/>
  <c r="H92" i="2"/>
  <c r="G92" i="2"/>
  <c r="G100" i="2" s="1"/>
  <c r="F92" i="2"/>
  <c r="E92" i="2"/>
  <c r="D92" i="2"/>
  <c r="D100" i="2" s="1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M90" i="2"/>
  <c r="L90" i="2"/>
  <c r="K90" i="2"/>
  <c r="J90" i="2"/>
  <c r="I90" i="2"/>
  <c r="H90" i="2"/>
  <c r="G90" i="2"/>
  <c r="F90" i="2"/>
  <c r="E90" i="2"/>
  <c r="D90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M32" i="2"/>
  <c r="AL32" i="2"/>
  <c r="AK32" i="2"/>
  <c r="AJ32" i="2"/>
  <c r="AI32" i="2"/>
  <c r="AH32" i="2"/>
  <c r="AG32" i="2"/>
  <c r="AF32" i="2"/>
  <c r="AE32" i="2"/>
  <c r="AD32" i="2"/>
  <c r="AD36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43" i="2"/>
  <c r="C36" i="2"/>
  <c r="C34" i="2"/>
  <c r="N62" i="2"/>
  <c r="O90" i="2" s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M188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C187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K100" i="2" l="1"/>
  <c r="S100" i="2"/>
  <c r="AA100" i="2"/>
  <c r="AI100" i="2"/>
  <c r="E100" i="2"/>
  <c r="M100" i="2"/>
  <c r="U100" i="2"/>
  <c r="AC100" i="2"/>
  <c r="AK100" i="2"/>
  <c r="F100" i="2"/>
  <c r="N100" i="2"/>
  <c r="V100" i="2"/>
  <c r="AD100" i="2"/>
  <c r="AL100" i="2"/>
  <c r="H100" i="2"/>
  <c r="P100" i="2"/>
  <c r="X100" i="2"/>
  <c r="AF100" i="2"/>
  <c r="H43" i="2"/>
  <c r="R34" i="2"/>
  <c r="AA38" i="2"/>
  <c r="G43" i="2"/>
  <c r="O43" i="2"/>
  <c r="AE43" i="2"/>
  <c r="AM43" i="2"/>
  <c r="AE36" i="2"/>
  <c r="Q38" i="2"/>
  <c r="Z38" i="2"/>
  <c r="F43" i="2"/>
  <c r="N43" i="2"/>
  <c r="R38" i="2"/>
  <c r="D34" i="2"/>
  <c r="E36" i="2"/>
  <c r="P38" i="2"/>
  <c r="AB43" i="2"/>
  <c r="H34" i="2"/>
  <c r="P34" i="2"/>
  <c r="Q34" i="2"/>
  <c r="Y34" i="2"/>
  <c r="U36" i="2"/>
  <c r="U43" i="2"/>
  <c r="AC43" i="2"/>
  <c r="O36" i="2"/>
  <c r="E34" i="2"/>
  <c r="U34" i="2"/>
  <c r="E38" i="2"/>
  <c r="U38" i="2"/>
  <c r="AC38" i="2"/>
  <c r="Y43" i="2"/>
  <c r="K43" i="2"/>
  <c r="S36" i="2"/>
  <c r="AI43" i="2"/>
  <c r="N34" i="2"/>
  <c r="N38" i="2"/>
  <c r="N90" i="2"/>
  <c r="V38" i="2"/>
  <c r="Y38" i="2"/>
  <c r="AH34" i="2"/>
  <c r="AH38" i="2"/>
  <c r="AD43" i="2"/>
  <c r="AL38" i="2"/>
  <c r="K36" i="2"/>
  <c r="O38" i="2"/>
  <c r="J36" i="2"/>
  <c r="R36" i="2"/>
  <c r="Z36" i="2"/>
  <c r="AH36" i="2"/>
  <c r="T34" i="2"/>
  <c r="H36" i="2"/>
  <c r="P36" i="2"/>
  <c r="AF36" i="2"/>
  <c r="D38" i="2"/>
  <c r="T38" i="2"/>
  <c r="AB38" i="2"/>
  <c r="AJ38" i="2"/>
  <c r="P43" i="2"/>
  <c r="AF43" i="2"/>
  <c r="AA36" i="2"/>
  <c r="AI36" i="2"/>
  <c r="AD38" i="2"/>
  <c r="AA43" i="2"/>
  <c r="S34" i="2"/>
  <c r="AM36" i="2"/>
  <c r="S38" i="2"/>
  <c r="AI38" i="2"/>
  <c r="Z43" i="2"/>
  <c r="O34" i="2"/>
  <c r="AM34" i="2"/>
  <c r="AE38" i="2"/>
  <c r="AM38" i="2"/>
  <c r="F38" i="2"/>
  <c r="X34" i="2"/>
  <c r="AF34" i="2"/>
  <c r="D36" i="2"/>
  <c r="L36" i="2"/>
  <c r="T36" i="2"/>
  <c r="AJ36" i="2"/>
  <c r="H38" i="2"/>
  <c r="AF38" i="2"/>
  <c r="D43" i="2"/>
  <c r="T43" i="2"/>
  <c r="AJ43" i="2"/>
  <c r="AB34" i="2"/>
  <c r="AJ34" i="2"/>
  <c r="F36" i="2"/>
  <c r="N36" i="2"/>
  <c r="F34" i="2"/>
  <c r="AB36" i="2"/>
  <c r="AA34" i="2"/>
  <c r="AI34" i="2"/>
  <c r="X43" i="2"/>
  <c r="Q43" i="2"/>
  <c r="L43" i="2"/>
  <c r="E43" i="2"/>
  <c r="M38" i="2"/>
  <c r="AK38" i="2"/>
  <c r="AC36" i="2"/>
  <c r="I36" i="2"/>
  <c r="Y36" i="2"/>
  <c r="W34" i="2"/>
  <c r="AE34" i="2"/>
  <c r="AG34" i="2"/>
  <c r="AK43" i="2"/>
  <c r="AL43" i="2"/>
  <c r="AK36" i="2"/>
  <c r="AL36" i="2"/>
  <c r="AK34" i="2"/>
  <c r="AL34" i="2"/>
  <c r="AG43" i="2"/>
  <c r="AH43" i="2"/>
  <c r="AG38" i="2"/>
  <c r="AG36" i="2"/>
  <c r="AC34" i="2"/>
  <c r="AD34" i="2"/>
  <c r="Z34" i="2"/>
  <c r="V43" i="2"/>
  <c r="W36" i="2"/>
  <c r="X38" i="2"/>
  <c r="W43" i="2"/>
  <c r="V36" i="2"/>
  <c r="V34" i="2"/>
  <c r="X36" i="2"/>
  <c r="W38" i="2"/>
  <c r="Q36" i="2"/>
  <c r="R43" i="2"/>
  <c r="S43" i="2"/>
  <c r="M34" i="2"/>
  <c r="M43" i="2"/>
  <c r="M36" i="2"/>
  <c r="I34" i="2"/>
  <c r="I38" i="2"/>
  <c r="J34" i="2"/>
  <c r="J38" i="2"/>
  <c r="K34" i="2"/>
  <c r="K38" i="2"/>
  <c r="I43" i="2"/>
  <c r="L34" i="2"/>
  <c r="L38" i="2"/>
  <c r="J43" i="2"/>
  <c r="G34" i="2"/>
  <c r="G38" i="2"/>
  <c r="G36" i="2"/>
  <c r="AM27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L91" i="1" l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C10" i="1"/>
  <c r="D10" i="1"/>
  <c r="H10" i="1"/>
  <c r="G10" i="1"/>
  <c r="F10" i="1"/>
  <c r="E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6" i="1" l="1"/>
  <c r="AI106" i="1" l="1"/>
  <c r="AH106" i="1"/>
  <c r="V106" i="1"/>
  <c r="AA106" i="1"/>
  <c r="AD106" i="1"/>
  <c r="AJ106" i="1" l="1"/>
  <c r="AL106" i="1"/>
  <c r="W106" i="1"/>
  <c r="AB106" i="1"/>
  <c r="AE106" i="1"/>
  <c r="X106" i="1" l="1"/>
  <c r="A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5B919E3A-6980-4BD9-AD3F-5B3E0AA92363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1" authorId="0" shapeId="0" xr:uid="{BE2ECE38-1E82-4377-B9D0-006CD3DEC45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9" authorId="0" shapeId="0" xr:uid="{A6C92D31-E85D-4DD7-8737-F2DA2717564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1" authorId="0" shapeId="0" xr:uid="{2D5F8CFB-A0B7-4EEA-9AF2-54B95AAB90E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9" authorId="0" shapeId="0" xr:uid="{FD654E92-3BF1-4237-96FA-4DA1D8DE4B9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7" authorId="0" shapeId="0" xr:uid="{3D0C9AC3-89BE-4E00-8316-380567D46771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1" authorId="0" shapeId="0" xr:uid="{F4EC886C-60E4-45F4-A581-9E3941FEC27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7" authorId="0" shapeId="0" xr:uid="{B9278B34-3A80-4E90-96BE-F64A847D4C9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3" authorId="0" shapeId="0" xr:uid="{3E1C1962-2AC1-466E-9526-EC2AFE31939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9" authorId="0" shapeId="0" xr:uid="{81C7C3E9-7980-45E2-83FF-A891A622EFB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3" authorId="0" shapeId="0" xr:uid="{D9A2E48D-C992-4EFC-967A-DA5DDB6242E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8" authorId="0" shapeId="0" xr:uid="{87FC8124-0B5D-4380-89E8-169BD00DCAF0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77" authorId="0" shapeId="0" xr:uid="{0BD89081-370A-4A83-AEBC-C232918F2C69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2" authorId="0" shapeId="0" xr:uid="{868C1F33-0F42-4A40-B521-BB1062A4B3DA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0" authorId="0" shapeId="0" xr:uid="{D73D5AD5-1EB0-4BDD-9B4F-B6271AA02D1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8" authorId="0" shapeId="0" xr:uid="{C6FDFF6B-6907-45DB-A3CA-271759BB77F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0" authorId="0" shapeId="0" xr:uid="{B91671FD-C861-44DB-AD22-76B7CF4B963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8" authorId="0" shapeId="0" xr:uid="{941A53EC-EC5D-41D4-92DB-B33CC9FEA12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6" authorId="0" shapeId="0" xr:uid="{76CA1073-FEF8-47CD-A4D1-6AE39DA7DA2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05" authorId="0" shapeId="0" xr:uid="{BE4D6B09-24AC-4F8F-ADE0-55E5664A9C5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10" authorId="0" shapeId="0" xr:uid="{FD50B81C-30E5-43F6-AC79-2B58C0042C7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19" authorId="0" shapeId="0" xr:uid="{2F4285F2-7185-4D4C-918C-661A1A7E50EA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sharedStrings.xml><?xml version="1.0" encoding="utf-8"?>
<sst xmlns="http://schemas.openxmlformats.org/spreadsheetml/2006/main" count="1830" uniqueCount="249">
  <si>
    <t>CAN</t>
  </si>
  <si>
    <t>CAN*</t>
  </si>
  <si>
    <t>AN33</t>
  </si>
  <si>
    <t>AS</t>
  </si>
  <si>
    <t>Üre</t>
  </si>
  <si>
    <t>DAP</t>
  </si>
  <si>
    <t>-</t>
  </si>
  <si>
    <t>Terminal</t>
  </si>
  <si>
    <t>n.a.</t>
  </si>
  <si>
    <t>Contents</t>
  </si>
  <si>
    <t>Period</t>
  </si>
  <si>
    <t>Contracting Group</t>
  </si>
  <si>
    <t>Turkey</t>
  </si>
  <si>
    <t>Abroad</t>
  </si>
  <si>
    <t>Middle East</t>
  </si>
  <si>
    <t>Caspian Region</t>
  </si>
  <si>
    <t>Bulgaria</t>
  </si>
  <si>
    <t>North Africa</t>
  </si>
  <si>
    <t>Transportation</t>
  </si>
  <si>
    <t>Pipeline</t>
  </si>
  <si>
    <t>Industrial Facilities</t>
  </si>
  <si>
    <t>Buildings</t>
  </si>
  <si>
    <t>Backlog by Project Types</t>
  </si>
  <si>
    <t>Backlog Breakdown by Regions (USDmn)</t>
  </si>
  <si>
    <t>Agri – Industry Group</t>
  </si>
  <si>
    <t>Domestic Sales</t>
  </si>
  <si>
    <t>Dealer Sales</t>
  </si>
  <si>
    <t xml:space="preserve">Wholesale </t>
  </si>
  <si>
    <t>Export</t>
  </si>
  <si>
    <t>Domestic Fertilizer Sales Toros Agri by Products</t>
  </si>
  <si>
    <t>Compound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</si>
  <si>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</si>
  <si>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</si>
  <si>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</si>
  <si>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</si>
  <si>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</si>
  <si>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</si>
  <si>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</si>
  <si>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</si>
  <si>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</si>
  <si>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</si>
  <si>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</si>
  <si>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</si>
  <si>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</si>
  <si>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</si>
  <si>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</si>
  <si>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</si>
  <si>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</si>
  <si>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</si>
  <si>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</si>
  <si>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</si>
  <si>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</si>
  <si>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</si>
  <si>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</si>
  <si>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</si>
  <si>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</si>
  <si>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</si>
  <si>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</si>
  <si>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</si>
  <si>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</si>
  <si>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</si>
  <si>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</si>
  <si>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</si>
  <si>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</si>
  <si>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</si>
  <si>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</si>
  <si>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</si>
  <si>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</si>
  <si>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</si>
  <si>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</si>
  <si>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</si>
  <si>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</si>
  <si>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Average Domestic Price ($/ton)</t>
  </si>
  <si>
    <t>Fertilizer Sales (1,000 ton)</t>
  </si>
  <si>
    <t>Fertilizer Production (1,000 ton)</t>
  </si>
  <si>
    <t>Ultra Nitrogen</t>
  </si>
  <si>
    <t>Capacity Utilization Ratio</t>
  </si>
  <si>
    <t>Fertilizer Procurement (1,000 ton)</t>
  </si>
  <si>
    <t>Urea</t>
  </si>
  <si>
    <t>Up</t>
  </si>
  <si>
    <t>Handled Quantity (1,000 ton)</t>
  </si>
  <si>
    <t>Terminal Services</t>
  </si>
  <si>
    <t>Leased capacity (1,000 m3)</t>
  </si>
  <si>
    <t>Occupancy rate in petroleum products’tanks</t>
  </si>
  <si>
    <t>9M08</t>
  </si>
  <si>
    <t>3M09</t>
  </si>
  <si>
    <t>6M09</t>
  </si>
  <si>
    <t>9M09</t>
  </si>
  <si>
    <t>3M10</t>
  </si>
  <si>
    <t>6M10</t>
  </si>
  <si>
    <t>9M10</t>
  </si>
  <si>
    <t>3M11</t>
  </si>
  <si>
    <t>6M11</t>
  </si>
  <si>
    <t>9M11</t>
  </si>
  <si>
    <t>3M12</t>
  </si>
  <si>
    <t>6M12</t>
  </si>
  <si>
    <t>9M12</t>
  </si>
  <si>
    <t>3M13</t>
  </si>
  <si>
    <t>6M13</t>
  </si>
  <si>
    <t>9M13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</si>
  <si>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</si>
  <si>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</si>
  <si>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</si>
  <si>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</si>
  <si>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</si>
  <si>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</si>
  <si>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</si>
  <si>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</si>
  <si>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</si>
  <si>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</si>
  <si>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</si>
  <si>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</si>
  <si>
    <t>3M18</t>
  </si>
  <si>
    <t>6M18</t>
  </si>
  <si>
    <t>9M18</t>
  </si>
  <si>
    <t>Fabrication Works</t>
  </si>
  <si>
    <t>Power Plant</t>
  </si>
  <si>
    <t>Civil Works</t>
  </si>
  <si>
    <t>Tankage</t>
  </si>
  <si>
    <t>Quarerly Operational Data</t>
  </si>
  <si>
    <t>Cumulative Operational Data</t>
  </si>
  <si>
    <t>TL mn</t>
  </si>
  <si>
    <t>Net Sales</t>
  </si>
  <si>
    <t>Gross Profit</t>
  </si>
  <si>
    <t>Margin</t>
  </si>
  <si>
    <t>Operating Profit</t>
  </si>
  <si>
    <t>EBITDA</t>
  </si>
  <si>
    <t>Net Income</t>
  </si>
  <si>
    <t>Net Financial Inc/Exp.</t>
  </si>
  <si>
    <t>Tax Expense from Continuing Operations</t>
  </si>
  <si>
    <t>Summary Consolidated Income Statement (Cumulative)</t>
  </si>
  <si>
    <t>Summary Consolidated Income Statement (Quarterly)</t>
  </si>
  <si>
    <t>TLmn</t>
  </si>
  <si>
    <t>Total Revenues</t>
  </si>
  <si>
    <t>Consolidated EBITDA</t>
  </si>
  <si>
    <t>Consolidated Net Income</t>
  </si>
  <si>
    <t>Ratios</t>
  </si>
  <si>
    <t>Net Debt</t>
  </si>
  <si>
    <t>Net Debt/EBITDA</t>
  </si>
  <si>
    <t>Net Debt/Equity</t>
  </si>
  <si>
    <t>Debt/Equity</t>
  </si>
  <si>
    <t>Financial Leverage</t>
  </si>
  <si>
    <t>Current Ratio</t>
  </si>
  <si>
    <t>Cash Ratio</t>
  </si>
  <si>
    <t>Return on Equity</t>
  </si>
  <si>
    <t>Return on Assets</t>
  </si>
  <si>
    <t>Net Cash/Debt</t>
  </si>
  <si>
    <t>Agri-Industry Group</t>
  </si>
  <si>
    <t>Other</t>
  </si>
  <si>
    <t>Real Estate</t>
  </si>
  <si>
    <t>Net Cash Position</t>
  </si>
  <si>
    <t>Capital Expenditure</t>
  </si>
  <si>
    <t>Depreciation and amortization expense for the period</t>
  </si>
  <si>
    <t>Summary Consolidated Cash Flow Statement</t>
  </si>
  <si>
    <t>Adjustments to Reconcile Net Profit</t>
  </si>
  <si>
    <t>Movements in Working Capital</t>
  </si>
  <si>
    <t>Cash Flow From Operating Activities</t>
  </si>
  <si>
    <t>Other Investments</t>
  </si>
  <si>
    <t>Cash Flow From Investing Activities</t>
  </si>
  <si>
    <t xml:space="preserve">Dividend Paid </t>
  </si>
  <si>
    <t>Cash Flow From Financial Activities</t>
  </si>
  <si>
    <t>Net Increase in Cash &amp; Cash Equivalents</t>
  </si>
  <si>
    <t>Consolidated Revenues, EBITDA &amp; Net Income (Cumulative)</t>
  </si>
  <si>
    <t>Toros Agri</t>
  </si>
  <si>
    <t>Consolidated Revenues, EBITDA &amp; Net Income (Quarterly)</t>
  </si>
  <si>
    <t>Summary Consolidated Balance Sheet</t>
  </si>
  <si>
    <t>Total Assets</t>
  </si>
  <si>
    <t>Total Liabilities and Equity</t>
  </si>
  <si>
    <t>Trade Payables</t>
  </si>
  <si>
    <t>Cash and cash equivalents</t>
  </si>
  <si>
    <t>Trade receivables</t>
  </si>
  <si>
    <t>Inventories</t>
  </si>
  <si>
    <t>Property, plant and equipment</t>
  </si>
  <si>
    <t xml:space="preserve">Intangible assets </t>
  </si>
  <si>
    <t>Short-term borrowings</t>
  </si>
  <si>
    <t xml:space="preserve">Long-term borrowings </t>
  </si>
  <si>
    <t>Equity</t>
  </si>
  <si>
    <t>Segmental assets and liabilities:</t>
  </si>
  <si>
    <t>Eliminations</t>
  </si>
  <si>
    <t>Current and non-current liabilities</t>
  </si>
  <si>
    <t>Equity attributable to owners of the parent</t>
  </si>
  <si>
    <t xml:space="preserve">Non-controlling interests </t>
  </si>
  <si>
    <t>Change in Financial Debt</t>
  </si>
  <si>
    <t>Segmental information related to property, plant and equipment, intangible assets, investment property</t>
  </si>
  <si>
    <t>4Q18</t>
  </si>
  <si>
    <t>Tekfen Agri</t>
  </si>
  <si>
    <t>1Q19</t>
  </si>
  <si>
    <t>3M19</t>
  </si>
  <si>
    <t>EBT</t>
  </si>
  <si>
    <t>2Q19</t>
  </si>
  <si>
    <t>6M19</t>
  </si>
  <si>
    <t>Organomineral</t>
  </si>
  <si>
    <t>9M19</t>
  </si>
  <si>
    <t>3Q19</t>
  </si>
  <si>
    <t>4Q19</t>
  </si>
  <si>
    <t>®</t>
  </si>
  <si>
    <t>1Q20</t>
  </si>
  <si>
    <t>3M20</t>
  </si>
  <si>
    <t>Speciality Fertilizer</t>
  </si>
  <si>
    <t>Alanar</t>
  </si>
  <si>
    <t>Tekfen Tarımsal</t>
  </si>
  <si>
    <t>Engineering &amp; Contracting</t>
  </si>
  <si>
    <t>Chemical Industry</t>
  </si>
  <si>
    <t>Agricultural Production</t>
  </si>
  <si>
    <t>Sapling (units)</t>
  </si>
  <si>
    <t>Sales from Production</t>
  </si>
  <si>
    <t>Sales from Procurement</t>
  </si>
  <si>
    <t>Banana Fruit</t>
  </si>
  <si>
    <t>Edible Potatoes</t>
  </si>
  <si>
    <t>Seed Potato</t>
  </si>
  <si>
    <t>Sesame</t>
  </si>
  <si>
    <t>Wheat</t>
  </si>
  <si>
    <t>Services</t>
  </si>
  <si>
    <t>Investment</t>
  </si>
  <si>
    <t>Asset Turnover Ratio</t>
  </si>
  <si>
    <t>Speciality Fertilizer - Other</t>
  </si>
  <si>
    <t>6M20</t>
  </si>
  <si>
    <t>Exports</t>
  </si>
  <si>
    <t>Agricultural Production (ton)</t>
  </si>
  <si>
    <t>Cherry Rootstock</t>
  </si>
  <si>
    <t>2Q20</t>
  </si>
  <si>
    <t>3Q20</t>
  </si>
  <si>
    <t>9M20</t>
  </si>
  <si>
    <t>Nitrogen</t>
  </si>
  <si>
    <t>Phospates</t>
  </si>
  <si>
    <t>Compund</t>
  </si>
  <si>
    <t>4Q20</t>
  </si>
  <si>
    <t>Wheat Flour</t>
  </si>
  <si>
    <t>Wheat Sieve</t>
  </si>
  <si>
    <t>USD/TRY Average:</t>
  </si>
  <si>
    <t>USD/TRY Close:</t>
  </si>
  <si>
    <t>Consolidated EBITDA &amp; Net Income Margin (Quarterly)</t>
  </si>
  <si>
    <t>Consolidated EBITDA &amp; Net Income Margin (Cumulative)</t>
  </si>
  <si>
    <t>Consolidated EBITDA Margin</t>
  </si>
  <si>
    <t>Consolidated Net Income Margin</t>
  </si>
  <si>
    <t>3M21</t>
  </si>
  <si>
    <t>1Q21</t>
  </si>
  <si>
    <t>2Q21</t>
  </si>
  <si>
    <t>6M21</t>
  </si>
  <si>
    <t>Banana Sapling (k unit)</t>
  </si>
  <si>
    <t>Banana Flower (k unit)</t>
  </si>
  <si>
    <t>3Q21</t>
  </si>
  <si>
    <t>9M21</t>
  </si>
  <si>
    <t>Barley</t>
  </si>
  <si>
    <t>Banana Flower (k units)</t>
  </si>
  <si>
    <t>Cherry Rootstock (k units)</t>
  </si>
  <si>
    <t>Banana Sapling (k units)</t>
  </si>
  <si>
    <t>Sales from Production (ton)</t>
  </si>
  <si>
    <t>Sales from Procurement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</si>
</sst>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0.0"/>
    <numFmt numFmtId="166" formatCode="0.000"/>
  </numFmts>
  <fonts count="22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10"/>
      <color theme="1"/>
      <name val="Arial"/>
      <family val="2"/>
    </font>
    <font>
      <sz val="10"/>
      <color rgb="FFFF0000"/>
      <name val="Arial"/>
      <family val="2"/>
      <charset val="16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sz val="10"/>
      <color theme="1"/>
      <name val="Symbol"/>
      <family val="1"/>
      <charset val="2"/>
    </font>
    <font>
      <b/>
      <sz val="14"/>
      <color rgb="FF002060"/>
      <name val="Arial Black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inden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2"/>
    </xf>
    <xf numFmtId="3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" fillId="3" borderId="1" xfId="1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0" fontId="10" fillId="2" borderId="0" xfId="2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8" fillId="2" borderId="0" xfId="2" applyFill="1"/>
    <xf numFmtId="0" fontId="2" fillId="4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left" indent="1"/>
    </xf>
    <xf numFmtId="165" fontId="13" fillId="2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6" fillId="2" borderId="0" xfId="0" applyFont="1" applyFill="1"/>
    <xf numFmtId="3" fontId="17" fillId="2" borderId="0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164" fontId="1" fillId="2" borderId="0" xfId="1" applyNumberFormat="1" applyFont="1" applyFill="1"/>
    <xf numFmtId="3" fontId="3" fillId="6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indent="2"/>
    </xf>
    <xf numFmtId="165" fontId="1" fillId="2" borderId="0" xfId="0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0" fontId="1" fillId="2" borderId="1" xfId="0" applyFont="1" applyFill="1" applyBorder="1"/>
    <xf numFmtId="3" fontId="11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5" fillId="2" borderId="3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3"/>
    </xf>
    <xf numFmtId="164" fontId="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0" fontId="15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1F249069-714F-44F2-BF74-0C7182166EE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250076</xdr:colOff>
      <xdr:row>0</xdr:row>
      <xdr:rowOff>13449</xdr:rowOff>
    </xdr:from>
    <xdr:to>
      <xdr:col>6</xdr:col>
      <xdr:colOff>297701</xdr:colOff>
      <xdr:row>18</xdr:row>
      <xdr:rowOff>67425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05" y="13449"/>
          <a:ext cx="3185272" cy="3119905"/>
        </a:xfrm>
        <a:prstGeom prst="rect">
          <a:avLst/>
        </a:prstGeom>
      </xdr:spPr>
    </xdr:pic>
    <xdr:clientData/>
  </xdr:twoCellAnchor>
  <xdr:twoCellAnchor>
    <xdr:from>
      <xdr:col>1</xdr:col>
      <xdr:colOff>213286</xdr:colOff>
      <xdr:row>16</xdr:row>
      <xdr:rowOff>111123</xdr:rowOff>
    </xdr:from>
    <xdr:to>
      <xdr:col>6</xdr:col>
      <xdr:colOff>346636</xdr:colOff>
      <xdr:row>21</xdr:row>
      <xdr:rowOff>145675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0815" y="2836394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>
              <a:latin typeface="Aharoni" panose="02010803020104030203" pitchFamily="2" charset="-79"/>
              <a:cs typeface="Aharoni" panose="02010803020104030203" pitchFamily="2" charset="-79"/>
            </a:rPr>
            <a:t>Summary Financial &amp; Operational</a:t>
          </a:r>
          <a:r>
            <a:rPr lang="tr-TR" sz="1800" b="1" baseline="0">
              <a:latin typeface="Aharoni" panose="02010803020104030203" pitchFamily="2" charset="-79"/>
              <a:cs typeface="Aharoni" panose="02010803020104030203" pitchFamily="2" charset="-79"/>
            </a:rPr>
            <a:t> Data</a:t>
          </a:r>
          <a:endParaRPr lang="tr-TR" sz="18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</xdr:col>
      <xdr:colOff>220756</xdr:colOff>
      <xdr:row>23</xdr:row>
      <xdr:rowOff>11017</xdr:rowOff>
    </xdr:from>
    <xdr:to>
      <xdr:col>6</xdr:col>
      <xdr:colOff>354106</xdr:colOff>
      <xdr:row>29</xdr:row>
      <xdr:rowOff>53599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8285" y="3928593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600"/>
            </a:spcBef>
          </a:pPr>
          <a:r>
            <a:rPr lang="tr-TR" sz="1400" b="1" u="sng">
              <a:latin typeface="Arial" panose="020B0604020202020204" pitchFamily="34" charset="0"/>
              <a:cs typeface="Arial" panose="020B0604020202020204" pitchFamily="34" charset="0"/>
            </a:rPr>
            <a:t>Tekfen</a:t>
          </a:r>
          <a:r>
            <a:rPr lang="tr-TR" sz="1400" b="1" u="sng" baseline="0">
              <a:latin typeface="Arial" panose="020B0604020202020204" pitchFamily="34" charset="0"/>
              <a:cs typeface="Arial" panose="020B0604020202020204" pitchFamily="34" charset="0"/>
            </a:rPr>
            <a:t> Holding Investor Relations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Çağlar Gülveren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</xdr:row>
      <xdr:rowOff>307182</xdr:rowOff>
    </xdr:from>
    <xdr:to>
      <xdr:col>1</xdr:col>
      <xdr:colOff>2950369</xdr:colOff>
      <xdr:row>1</xdr:row>
      <xdr:rowOff>307182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A7DA98F-CD3A-42F2-B6FA-588D575B81FC}"/>
            </a:ext>
          </a:extLst>
        </xdr:cNvPr>
        <xdr:cNvCxnSpPr/>
      </xdr:nvCxnSpPr>
      <xdr:spPr>
        <a:xfrm>
          <a:off x="473868" y="473870"/>
          <a:ext cx="2917032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C8C28D7-8512-4476-83A2-942DAD876DF9}"/>
            </a:ext>
          </a:extLst>
        </xdr:cNvPr>
        <xdr:cNvCxnSpPr/>
      </xdr:nvCxnSpPr>
      <xdr:spPr>
        <a:xfrm flipV="1">
          <a:off x="485775" y="4476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359FF8-40E1-4A65-91A8-7455ABBA7D77}"/>
            </a:ext>
          </a:extLst>
        </xdr:cNvPr>
        <xdr:cNvCxnSpPr/>
      </xdr:nvCxnSpPr>
      <xdr:spPr>
        <a:xfrm flipV="1">
          <a:off x="476250" y="42862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937C2A-C3D4-4653-919C-38249CF9D5A1}"/>
            </a:ext>
          </a:extLst>
        </xdr:cNvPr>
        <xdr:cNvCxnSpPr/>
      </xdr:nvCxnSpPr>
      <xdr:spPr>
        <a:xfrm flipV="1">
          <a:off x="611981" y="4857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285749</xdr:rowOff>
    </xdr:from>
    <xdr:to>
      <xdr:col>1</xdr:col>
      <xdr:colOff>5881687</xdr:colOff>
      <xdr:row>1</xdr:row>
      <xdr:rowOff>297657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105E1B0-2F21-4F7C-BC33-82BEE8DB56EA}"/>
            </a:ext>
          </a:extLst>
        </xdr:cNvPr>
        <xdr:cNvCxnSpPr/>
      </xdr:nvCxnSpPr>
      <xdr:spPr>
        <a:xfrm flipV="1">
          <a:off x="488157" y="452437"/>
          <a:ext cx="5845968" cy="11908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285749</xdr:rowOff>
    </xdr:from>
    <xdr:to>
      <xdr:col>1</xdr:col>
      <xdr:colOff>5881687</xdr:colOff>
      <xdr:row>1</xdr:row>
      <xdr:rowOff>297657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6281D68-CBFC-4A4A-8BAF-11249BE27EE8}"/>
            </a:ext>
          </a:extLst>
        </xdr:cNvPr>
        <xdr:cNvCxnSpPr/>
      </xdr:nvCxnSpPr>
      <xdr:spPr>
        <a:xfrm flipV="1">
          <a:off x="616744" y="447674"/>
          <a:ext cx="5845968" cy="11908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I28" sqref="I28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BC173"/>
  <sheetViews>
    <sheetView zoomScale="80" zoomScaleNormal="80" workbookViewId="0">
      <pane xSplit="2" topLeftCell="AC1" activePane="topRight" state="frozen"/>
      <selection pane="topRight" activeCell="BB10" sqref="BB10"/>
    </sheetView>
  </sheetViews>
  <sheetFormatPr defaultColWidth="9.140625" defaultRowHeight="12.75" outlineLevelRow="1" x14ac:dyDescent="0.2"/>
  <cols>
    <col min="1" max="1" width="8.7109375" style="1" customWidth="1"/>
    <col min="2" max="2" width="44.42578125" style="1" bestFit="1" customWidth="1"/>
    <col min="3" max="16384" width="9.140625" style="1"/>
  </cols>
  <sheetData>
    <row r="1" spans="1:55" x14ac:dyDescent="0.2">
      <c r="A1" s="64"/>
    </row>
    <row r="2" spans="1:55" s="130" customFormat="1" ht="24" customHeight="1" x14ac:dyDescent="0.25">
      <c r="A2" s="128"/>
      <c r="B2" s="129" t="s">
        <v>9</v>
      </c>
    </row>
    <row r="3" spans="1:55" ht="15" customHeight="1" x14ac:dyDescent="0.2">
      <c r="A3" s="96" t="s">
        <v>195</v>
      </c>
      <c r="B3" s="63" t="s">
        <v>119</v>
      </c>
    </row>
    <row r="4" spans="1:55" ht="15" customHeight="1" x14ac:dyDescent="0.2">
      <c r="A4" s="96" t="s">
        <v>195</v>
      </c>
      <c r="B4" s="63" t="s">
        <v>120</v>
      </c>
    </row>
    <row r="5" spans="1:55" x14ac:dyDescent="0.2">
      <c r="A5" s="64"/>
    </row>
    <row r="6" spans="1:55" outlineLevel="1" x14ac:dyDescent="0.2">
      <c r="A6" s="64"/>
      <c r="B6" s="20" t="s">
        <v>10</v>
      </c>
      <c r="C6" s="20" t="s">
        <v>31</v>
      </c>
      <c r="D6" s="20" t="s">
        <v>32</v>
      </c>
      <c r="E6" s="20" t="s">
        <v>33</v>
      </c>
      <c r="F6" s="20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 t="s">
        <v>58</v>
      </c>
      <c r="AE6" s="20" t="s">
        <v>59</v>
      </c>
      <c r="AF6" s="20" t="s">
        <v>60</v>
      </c>
      <c r="AG6" s="20" t="s">
        <v>61</v>
      </c>
      <c r="AH6" s="20" t="s">
        <v>62</v>
      </c>
      <c r="AI6" s="20" t="s">
        <v>63</v>
      </c>
      <c r="AJ6" s="20" t="s">
        <v>64</v>
      </c>
      <c r="AK6" s="20" t="s">
        <v>65</v>
      </c>
      <c r="AL6" s="20" t="s">
        <v>66</v>
      </c>
      <c r="AM6" s="20" t="s">
        <v>67</v>
      </c>
      <c r="AN6" s="20" t="s">
        <v>68</v>
      </c>
      <c r="AO6" s="20" t="s">
        <v>69</v>
      </c>
      <c r="AP6" s="20" t="s">
        <v>70</v>
      </c>
      <c r="AQ6" s="20" t="s">
        <v>71</v>
      </c>
      <c r="AR6" s="20" t="s">
        <v>184</v>
      </c>
      <c r="AS6" s="20" t="s">
        <v>186</v>
      </c>
      <c r="AT6" s="20" t="s">
        <v>189</v>
      </c>
      <c r="AU6" s="20" t="s">
        <v>193</v>
      </c>
      <c r="AV6" s="20" t="s">
        <v>194</v>
      </c>
      <c r="AW6" s="20" t="s">
        <v>196</v>
      </c>
      <c r="AX6" s="20" t="s">
        <v>220</v>
      </c>
      <c r="AY6" s="20" t="s">
        <v>221</v>
      </c>
      <c r="AZ6" s="20" t="s">
        <v>226</v>
      </c>
      <c r="BA6" s="20" t="s">
        <v>236</v>
      </c>
      <c r="BB6" s="20" t="s">
        <v>237</v>
      </c>
      <c r="BC6" s="20" t="s">
        <v>241</v>
      </c>
    </row>
    <row r="7" spans="1:55" ht="14.1" customHeight="1" outlineLevel="1" x14ac:dyDescent="0.2">
      <c r="A7" s="64"/>
      <c r="B7" s="21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</row>
    <row r="8" spans="1:55" ht="15" customHeight="1" outlineLevel="1" x14ac:dyDescent="0.2">
      <c r="A8" s="64"/>
      <c r="B8" s="6" t="s">
        <v>23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  <c r="BA8" s="7">
        <v>1635.2649989922677</v>
      </c>
      <c r="BB8" s="7">
        <v>1506.2807012816097</v>
      </c>
      <c r="BC8" s="7">
        <v>1460.2577264003248</v>
      </c>
    </row>
    <row r="9" spans="1:55" ht="15" customHeight="1" outlineLevel="1" x14ac:dyDescent="0.2">
      <c r="A9" s="64"/>
      <c r="B9" s="9" t="s">
        <v>12</v>
      </c>
      <c r="C9" s="38">
        <v>92</v>
      </c>
      <c r="D9" s="38">
        <v>75</v>
      </c>
      <c r="E9" s="38">
        <v>71</v>
      </c>
      <c r="F9" s="38">
        <v>60</v>
      </c>
      <c r="G9" s="38">
        <v>43</v>
      </c>
      <c r="H9" s="38">
        <v>34</v>
      </c>
      <c r="I9" s="38">
        <v>30</v>
      </c>
      <c r="J9" s="38">
        <v>41</v>
      </c>
      <c r="K9" s="38">
        <v>34</v>
      </c>
      <c r="L9" s="38">
        <v>36</v>
      </c>
      <c r="M9" s="38">
        <v>38</v>
      </c>
      <c r="N9" s="38">
        <v>78</v>
      </c>
      <c r="O9" s="38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3">
        <v>191.44550412683063</v>
      </c>
      <c r="AU9" s="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3">
        <v>51.980410562879364</v>
      </c>
      <c r="BA9" s="3">
        <v>44.913985196876823</v>
      </c>
      <c r="BB9" s="3">
        <v>32.893025933254357</v>
      </c>
      <c r="BC9" s="3">
        <v>51.5147366367882</v>
      </c>
    </row>
    <row r="10" spans="1:55" ht="15" customHeight="1" outlineLevel="1" x14ac:dyDescent="0.2">
      <c r="A10" s="64"/>
      <c r="B10" s="12" t="s">
        <v>13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BC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3">
        <f t="shared" si="1"/>
        <v>1654.6322902296638</v>
      </c>
      <c r="AU10" s="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3">
        <f t="shared" si="1"/>
        <v>1351.3697559842751</v>
      </c>
      <c r="BA10" s="3">
        <f t="shared" si="1"/>
        <v>1590.3510137953913</v>
      </c>
      <c r="BB10" s="3">
        <f t="shared" si="1"/>
        <v>1472.7132615695632</v>
      </c>
      <c r="BC10" s="3">
        <f t="shared" si="1"/>
        <v>1408.7429897635366</v>
      </c>
    </row>
    <row r="11" spans="1:55" ht="15" customHeight="1" outlineLevel="1" x14ac:dyDescent="0.2">
      <c r="A11" s="64"/>
      <c r="B11" s="14" t="s">
        <v>14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7">
        <v>531</v>
      </c>
      <c r="N11" s="27">
        <v>581</v>
      </c>
      <c r="O11" s="27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02">
        <v>1168.4163918841014</v>
      </c>
      <c r="AU11" s="102">
        <v>997.14742192940105</v>
      </c>
      <c r="AV11" s="102">
        <v>746.16047521756582</v>
      </c>
      <c r="AW11" s="102">
        <v>683.77791440652356</v>
      </c>
      <c r="AX11" s="3">
        <v>647.44553099999996</v>
      </c>
      <c r="AY11" s="3">
        <v>816.96547962556417</v>
      </c>
      <c r="AZ11" s="3">
        <v>590.47057847175734</v>
      </c>
      <c r="BA11" s="3">
        <v>475.30613737465671</v>
      </c>
      <c r="BB11" s="3">
        <v>412.77715703589109</v>
      </c>
      <c r="BC11" s="3">
        <v>446.27852923027314</v>
      </c>
    </row>
    <row r="12" spans="1:55" ht="15" customHeight="1" outlineLevel="1" x14ac:dyDescent="0.2">
      <c r="A12" s="64"/>
      <c r="B12" s="14" t="s">
        <v>15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7">
        <v>722</v>
      </c>
      <c r="N12" s="27">
        <v>697</v>
      </c>
      <c r="O12" s="27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02">
        <v>486.21589834556244</v>
      </c>
      <c r="AU12" s="102">
        <v>627.52118041248775</v>
      </c>
      <c r="AV12" s="102">
        <v>806.09684521865097</v>
      </c>
      <c r="AW12" s="102">
        <v>684.05258140278647</v>
      </c>
      <c r="AX12" s="3">
        <v>756.46738500000004</v>
      </c>
      <c r="AY12" s="3">
        <v>682.72140100000001</v>
      </c>
      <c r="AZ12" s="3">
        <v>760.89917751251778</v>
      </c>
      <c r="BA12" s="3">
        <v>1115.0448764207345</v>
      </c>
      <c r="BB12" s="3">
        <v>1059.9361045336721</v>
      </c>
      <c r="BC12" s="3">
        <v>962.46446053326349</v>
      </c>
    </row>
    <row r="13" spans="1:55" ht="15" customHeight="1" outlineLevel="1" x14ac:dyDescent="0.2">
      <c r="A13" s="64"/>
      <c r="B13" s="14" t="s">
        <v>17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7">
        <v>743</v>
      </c>
      <c r="N13" s="27">
        <v>710</v>
      </c>
      <c r="O13" s="27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</row>
    <row r="14" spans="1:55" ht="15" customHeight="1" outlineLevel="1" x14ac:dyDescent="0.2">
      <c r="A14" s="64"/>
      <c r="B14" s="16" t="s">
        <v>16</v>
      </c>
      <c r="C14" s="19">
        <v>17</v>
      </c>
      <c r="D14" s="19">
        <v>16</v>
      </c>
      <c r="E14" s="19">
        <v>10</v>
      </c>
      <c r="F14" s="19">
        <v>12</v>
      </c>
      <c r="G14" s="19">
        <v>16</v>
      </c>
      <c r="H14" s="19">
        <v>14</v>
      </c>
      <c r="I14" s="19">
        <v>13</v>
      </c>
      <c r="J14" s="19">
        <v>10</v>
      </c>
      <c r="K14" s="19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</row>
    <row r="15" spans="1:55" ht="15" customHeight="1" outlineLevel="1" x14ac:dyDescent="0.2">
      <c r="A15" s="6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9"/>
    </row>
    <row r="16" spans="1:55" ht="15" customHeight="1" outlineLevel="1" x14ac:dyDescent="0.2">
      <c r="A16" s="64"/>
      <c r="B16" s="12" t="s">
        <v>18</v>
      </c>
      <c r="C16" s="27">
        <v>575</v>
      </c>
      <c r="D16" s="27">
        <v>597</v>
      </c>
      <c r="E16" s="27">
        <v>516</v>
      </c>
      <c r="F16" s="27">
        <v>466</v>
      </c>
      <c r="G16" s="27">
        <v>392</v>
      </c>
      <c r="H16" s="27">
        <v>396</v>
      </c>
      <c r="I16" s="27">
        <v>355</v>
      </c>
      <c r="J16" s="27">
        <v>315</v>
      </c>
      <c r="K16" s="27">
        <v>277</v>
      </c>
      <c r="L16" s="27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3">
        <v>448.86398846532006</v>
      </c>
      <c r="AU16" s="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3">
        <v>339.00492941977473</v>
      </c>
      <c r="BA16" s="3">
        <v>300.74278521485036</v>
      </c>
      <c r="BB16" s="3">
        <v>277.43137085439179</v>
      </c>
      <c r="BC16" s="3">
        <v>231.01717992491484</v>
      </c>
    </row>
    <row r="17" spans="1:55" ht="15" customHeight="1" outlineLevel="1" x14ac:dyDescent="0.2">
      <c r="A17" s="64"/>
      <c r="B17" s="12" t="s">
        <v>19</v>
      </c>
      <c r="C17" s="27">
        <v>288</v>
      </c>
      <c r="D17" s="27">
        <v>286</v>
      </c>
      <c r="E17" s="27">
        <v>256</v>
      </c>
      <c r="F17" s="27">
        <v>241</v>
      </c>
      <c r="G17" s="27">
        <v>213</v>
      </c>
      <c r="H17" s="27">
        <v>191</v>
      </c>
      <c r="I17" s="27">
        <v>175</v>
      </c>
      <c r="J17" s="27">
        <v>155</v>
      </c>
      <c r="K17" s="27">
        <v>174</v>
      </c>
      <c r="L17" s="27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3">
        <v>675.6716231811979</v>
      </c>
      <c r="AU17" s="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3">
        <v>371.04052614029644</v>
      </c>
      <c r="BA17" s="3">
        <v>296.04625726441668</v>
      </c>
      <c r="BB17" s="3">
        <v>275.65935766044913</v>
      </c>
      <c r="BC17" s="3">
        <v>356.92235435262131</v>
      </c>
    </row>
    <row r="18" spans="1:55" ht="15" customHeight="1" outlineLevel="1" x14ac:dyDescent="0.2">
      <c r="A18" s="64"/>
      <c r="B18" s="12" t="s">
        <v>20</v>
      </c>
      <c r="C18" s="27">
        <v>432</v>
      </c>
      <c r="D18" s="27">
        <v>379</v>
      </c>
      <c r="E18" s="27">
        <v>296</v>
      </c>
      <c r="F18" s="27">
        <v>655</v>
      </c>
      <c r="G18" s="27">
        <v>616</v>
      </c>
      <c r="H18" s="27">
        <v>551</v>
      </c>
      <c r="I18" s="27">
        <v>657</v>
      </c>
      <c r="J18" s="27">
        <v>699</v>
      </c>
      <c r="K18" s="27">
        <v>623</v>
      </c>
      <c r="L18" s="27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3">
        <v>496.72291507126914</v>
      </c>
      <c r="AU18" s="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3">
        <v>651.70246856229028</v>
      </c>
      <c r="BA18" s="3">
        <v>750.18627897450574</v>
      </c>
      <c r="BB18" s="3">
        <v>674.80535583793539</v>
      </c>
      <c r="BC18" s="3">
        <v>603.03281360021731</v>
      </c>
    </row>
    <row r="19" spans="1:55" ht="15" customHeight="1" outlineLevel="1" x14ac:dyDescent="0.2">
      <c r="A19" s="64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7">
        <v>235</v>
      </c>
      <c r="K19" s="27">
        <v>235</v>
      </c>
      <c r="L19" s="27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3">
        <v>224.81926763870752</v>
      </c>
      <c r="AU19" s="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3">
        <v>41.602242424793154</v>
      </c>
      <c r="BA19" s="3">
        <v>288.28967753849486</v>
      </c>
      <c r="BB19" s="3">
        <v>278.38461692883322</v>
      </c>
      <c r="BC19" s="3">
        <v>269.28537852257131</v>
      </c>
    </row>
    <row r="20" spans="1:55" ht="15" customHeight="1" outlineLevel="1" x14ac:dyDescent="0.2">
      <c r="A20" s="64"/>
      <c r="B20" s="78" t="s">
        <v>115</v>
      </c>
      <c r="C20" s="13">
        <v>0</v>
      </c>
      <c r="D20" s="13">
        <v>0</v>
      </c>
      <c r="E20" s="27">
        <v>7</v>
      </c>
      <c r="F20" s="27">
        <v>7</v>
      </c>
      <c r="G20" s="27">
        <v>6</v>
      </c>
      <c r="H20" s="27">
        <v>3</v>
      </c>
      <c r="I20" s="27">
        <v>4</v>
      </c>
      <c r="J20" s="27">
        <v>7</v>
      </c>
      <c r="K20" s="27">
        <v>7</v>
      </c>
      <c r="L20" s="27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</row>
    <row r="21" spans="1:55" ht="15" customHeight="1" outlineLevel="1" x14ac:dyDescent="0.2">
      <c r="A21" s="64"/>
      <c r="B21" s="78" t="s">
        <v>118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</row>
    <row r="22" spans="1:55" ht="15" customHeight="1" outlineLevel="1" x14ac:dyDescent="0.2">
      <c r="A22" s="64"/>
      <c r="B22" s="78" t="s">
        <v>117</v>
      </c>
      <c r="C22" s="27">
        <v>66</v>
      </c>
      <c r="D22" s="27">
        <v>55</v>
      </c>
      <c r="E22" s="27">
        <v>48</v>
      </c>
      <c r="F22" s="27">
        <v>40</v>
      </c>
      <c r="G22" s="27">
        <v>38</v>
      </c>
      <c r="H22" s="27">
        <v>21</v>
      </c>
      <c r="I22" s="27">
        <v>17</v>
      </c>
      <c r="J22" s="27">
        <v>25</v>
      </c>
      <c r="K22" s="27">
        <v>21</v>
      </c>
      <c r="L22" s="27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</row>
    <row r="23" spans="1:55" ht="15" customHeight="1" outlineLevel="1" x14ac:dyDescent="0.2">
      <c r="A23" s="64"/>
      <c r="B23" s="79" t="s">
        <v>116</v>
      </c>
      <c r="C23" s="29">
        <v>17</v>
      </c>
      <c r="D23" s="29">
        <v>16</v>
      </c>
      <c r="E23" s="29">
        <v>10</v>
      </c>
      <c r="F23" s="29">
        <v>12</v>
      </c>
      <c r="G23" s="29">
        <v>102</v>
      </c>
      <c r="H23" s="29">
        <v>97</v>
      </c>
      <c r="I23" s="29">
        <v>88</v>
      </c>
      <c r="J23" s="29">
        <v>84</v>
      </c>
      <c r="K23" s="29">
        <v>74</v>
      </c>
      <c r="L23" s="29">
        <v>56</v>
      </c>
      <c r="M23" s="19">
        <v>47</v>
      </c>
      <c r="N23" s="19">
        <v>37</v>
      </c>
      <c r="O23" s="19">
        <v>36</v>
      </c>
      <c r="P23" s="19">
        <v>26</v>
      </c>
      <c r="Q23" s="19">
        <v>18</v>
      </c>
      <c r="R23" s="19">
        <v>12</v>
      </c>
      <c r="S23" s="19">
        <v>7</v>
      </c>
      <c r="T23" s="19">
        <v>4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</row>
    <row r="24" spans="1:55" ht="14.1" customHeight="1" outlineLevel="1" x14ac:dyDescent="0.2">
      <c r="A24" s="64"/>
      <c r="B24" s="76" t="s">
        <v>202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ht="15" customHeight="1" outlineLevel="1" x14ac:dyDescent="0.2">
      <c r="A25" s="64"/>
      <c r="B25" s="22" t="s">
        <v>73</v>
      </c>
      <c r="C25" s="23">
        <f t="shared" ref="C25:AP25" si="2">+C27+C28+C30</f>
        <v>189.71299999999999</v>
      </c>
      <c r="D25" s="23">
        <f t="shared" si="2"/>
        <v>292.94099999999997</v>
      </c>
      <c r="E25" s="23">
        <f t="shared" si="2"/>
        <v>548.07899999999995</v>
      </c>
      <c r="F25" s="23">
        <f t="shared" si="2"/>
        <v>252.2</v>
      </c>
      <c r="G25" s="23">
        <f t="shared" si="2"/>
        <v>405.375</v>
      </c>
      <c r="H25" s="23">
        <f t="shared" si="2"/>
        <v>373.755</v>
      </c>
      <c r="I25" s="23">
        <f t="shared" si="2"/>
        <v>661.56600000000003</v>
      </c>
      <c r="J25" s="23">
        <f t="shared" si="2"/>
        <v>329.46</v>
      </c>
      <c r="K25" s="23">
        <f t="shared" si="2"/>
        <v>353.27499999999998</v>
      </c>
      <c r="L25" s="23">
        <f t="shared" si="2"/>
        <v>398.7</v>
      </c>
      <c r="M25" s="23">
        <f t="shared" si="2"/>
        <v>604.26</v>
      </c>
      <c r="N25" s="23">
        <f t="shared" si="2"/>
        <v>342.8</v>
      </c>
      <c r="O25" s="23">
        <f t="shared" si="2"/>
        <v>284.35000000000002</v>
      </c>
      <c r="P25" s="23">
        <f t="shared" si="2"/>
        <v>268.05099999999999</v>
      </c>
      <c r="Q25" s="23">
        <f t="shared" si="2"/>
        <v>592.15</v>
      </c>
      <c r="R25" s="23">
        <f t="shared" si="2"/>
        <v>382.875</v>
      </c>
      <c r="S25" s="23">
        <f t="shared" si="2"/>
        <v>267.25</v>
      </c>
      <c r="T25" s="23">
        <f t="shared" si="2"/>
        <v>386</v>
      </c>
      <c r="U25" s="23">
        <f t="shared" si="2"/>
        <v>582.25</v>
      </c>
      <c r="V25" s="23">
        <f t="shared" si="2"/>
        <v>324.77499999999998</v>
      </c>
      <c r="W25" s="23">
        <f t="shared" si="2"/>
        <v>293.57499999999999</v>
      </c>
      <c r="X25" s="23">
        <f t="shared" si="2"/>
        <v>434.15</v>
      </c>
      <c r="Y25" s="23">
        <f t="shared" si="2"/>
        <v>599.97199999999998</v>
      </c>
      <c r="Z25" s="23">
        <f t="shared" si="2"/>
        <v>350.27499999999998</v>
      </c>
      <c r="AA25" s="23">
        <f t="shared" si="2"/>
        <v>301.87200000000001</v>
      </c>
      <c r="AB25" s="23">
        <f t="shared" si="2"/>
        <v>455.495</v>
      </c>
      <c r="AC25" s="23">
        <f t="shared" si="2"/>
        <v>634.11500000000001</v>
      </c>
      <c r="AD25" s="23">
        <f t="shared" si="2"/>
        <v>375.09500000000003</v>
      </c>
      <c r="AE25" s="23">
        <f t="shared" si="2"/>
        <v>225.05</v>
      </c>
      <c r="AF25" s="23">
        <f t="shared" si="2"/>
        <v>272.7</v>
      </c>
      <c r="AG25" s="23">
        <f>+AG27+AG28+AG30</f>
        <v>757</v>
      </c>
      <c r="AH25" s="23">
        <f t="shared" si="2"/>
        <v>347.08</v>
      </c>
      <c r="AI25" s="23">
        <f t="shared" si="2"/>
        <v>243</v>
      </c>
      <c r="AJ25" s="23">
        <f t="shared" si="2"/>
        <v>403.15</v>
      </c>
      <c r="AK25" s="23">
        <f t="shared" si="2"/>
        <v>615</v>
      </c>
      <c r="AL25" s="23">
        <f t="shared" si="2"/>
        <v>464</v>
      </c>
      <c r="AM25" s="23">
        <f t="shared" si="2"/>
        <v>418</v>
      </c>
      <c r="AN25" s="23">
        <f t="shared" si="2"/>
        <v>450</v>
      </c>
      <c r="AO25" s="23">
        <f t="shared" si="2"/>
        <v>621</v>
      </c>
      <c r="AP25" s="23">
        <f t="shared" si="2"/>
        <v>460</v>
      </c>
      <c r="AQ25" s="23">
        <f t="shared" ref="AQ25" si="3">+AQ27+AQ28+AQ30</f>
        <v>351</v>
      </c>
      <c r="AR25" s="23">
        <f>+AR27+AR28+AR30</f>
        <v>404</v>
      </c>
      <c r="AS25" s="23">
        <f t="shared" ref="AS25:BC25" si="4">+AS27+AS28+AS30+AS29</f>
        <v>755</v>
      </c>
      <c r="AT25" s="23">
        <f t="shared" si="4"/>
        <v>529</v>
      </c>
      <c r="AU25" s="23">
        <f t="shared" si="4"/>
        <v>343</v>
      </c>
      <c r="AV25" s="23">
        <f t="shared" si="4"/>
        <v>485</v>
      </c>
      <c r="AW25" s="23">
        <f t="shared" si="4"/>
        <v>706</v>
      </c>
      <c r="AX25" s="23">
        <f t="shared" si="4"/>
        <v>381</v>
      </c>
      <c r="AY25" s="23">
        <f t="shared" si="4"/>
        <v>553</v>
      </c>
      <c r="AZ25" s="23">
        <f t="shared" si="4"/>
        <v>540</v>
      </c>
      <c r="BA25" s="23">
        <f t="shared" si="4"/>
        <v>618</v>
      </c>
      <c r="BB25" s="23">
        <f t="shared" si="4"/>
        <v>512</v>
      </c>
      <c r="BC25" s="23">
        <f t="shared" si="4"/>
        <v>352</v>
      </c>
    </row>
    <row r="26" spans="1:55" ht="15" customHeight="1" outlineLevel="1" x14ac:dyDescent="0.2">
      <c r="A26" s="64"/>
      <c r="B26" s="67" t="s">
        <v>25</v>
      </c>
      <c r="C26" s="69">
        <f t="shared" ref="C26:AP26" si="5">+C27+C28</f>
        <v>184</v>
      </c>
      <c r="D26" s="69">
        <f t="shared" si="5"/>
        <v>291</v>
      </c>
      <c r="E26" s="69">
        <f t="shared" si="5"/>
        <v>545</v>
      </c>
      <c r="F26" s="69">
        <f t="shared" si="5"/>
        <v>252</v>
      </c>
      <c r="G26" s="69">
        <f t="shared" si="5"/>
        <v>405</v>
      </c>
      <c r="H26" s="69">
        <f t="shared" si="5"/>
        <v>371</v>
      </c>
      <c r="I26" s="69">
        <f t="shared" si="5"/>
        <v>646</v>
      </c>
      <c r="J26" s="69">
        <f t="shared" si="5"/>
        <v>321</v>
      </c>
      <c r="K26" s="69">
        <f t="shared" si="5"/>
        <v>343</v>
      </c>
      <c r="L26" s="69">
        <f t="shared" si="5"/>
        <v>397</v>
      </c>
      <c r="M26" s="69">
        <f t="shared" si="5"/>
        <v>589</v>
      </c>
      <c r="N26" s="69">
        <f t="shared" si="5"/>
        <v>332</v>
      </c>
      <c r="O26" s="69">
        <f t="shared" si="5"/>
        <v>284</v>
      </c>
      <c r="P26" s="69">
        <f t="shared" si="5"/>
        <v>267</v>
      </c>
      <c r="Q26" s="69">
        <f t="shared" si="5"/>
        <v>592</v>
      </c>
      <c r="R26" s="69">
        <f t="shared" si="5"/>
        <v>367</v>
      </c>
      <c r="S26" s="69">
        <f t="shared" si="5"/>
        <v>267</v>
      </c>
      <c r="T26" s="69">
        <f t="shared" si="5"/>
        <v>386</v>
      </c>
      <c r="U26" s="69">
        <f t="shared" si="5"/>
        <v>582</v>
      </c>
      <c r="V26" s="69">
        <f t="shared" si="5"/>
        <v>315</v>
      </c>
      <c r="W26" s="69">
        <f t="shared" si="5"/>
        <v>285</v>
      </c>
      <c r="X26" s="69">
        <f t="shared" si="5"/>
        <v>432</v>
      </c>
      <c r="Y26" s="69">
        <f t="shared" si="5"/>
        <v>588</v>
      </c>
      <c r="Z26" s="69">
        <f t="shared" si="5"/>
        <v>347</v>
      </c>
      <c r="AA26" s="69">
        <f t="shared" si="5"/>
        <v>296</v>
      </c>
      <c r="AB26" s="69">
        <f t="shared" si="5"/>
        <v>453</v>
      </c>
      <c r="AC26" s="69">
        <f t="shared" si="5"/>
        <v>634</v>
      </c>
      <c r="AD26" s="69">
        <f t="shared" si="5"/>
        <v>375</v>
      </c>
      <c r="AE26" s="69">
        <f t="shared" si="5"/>
        <v>220</v>
      </c>
      <c r="AF26" s="69">
        <f t="shared" si="5"/>
        <v>270</v>
      </c>
      <c r="AG26" s="69">
        <f t="shared" si="5"/>
        <v>757</v>
      </c>
      <c r="AH26" s="69">
        <f t="shared" si="5"/>
        <v>347</v>
      </c>
      <c r="AI26" s="69">
        <f t="shared" si="5"/>
        <v>243</v>
      </c>
      <c r="AJ26" s="69">
        <f t="shared" si="5"/>
        <v>402</v>
      </c>
      <c r="AK26" s="69">
        <f t="shared" si="5"/>
        <v>564</v>
      </c>
      <c r="AL26" s="69">
        <f t="shared" si="5"/>
        <v>385</v>
      </c>
      <c r="AM26" s="69">
        <f t="shared" si="5"/>
        <v>319</v>
      </c>
      <c r="AN26" s="69">
        <f t="shared" si="5"/>
        <v>405</v>
      </c>
      <c r="AO26" s="69">
        <f t="shared" si="5"/>
        <v>588</v>
      </c>
      <c r="AP26" s="69">
        <f t="shared" si="5"/>
        <v>390</v>
      </c>
      <c r="AQ26" s="69">
        <f t="shared" ref="AQ26" si="6">+AQ27+AQ28</f>
        <v>220</v>
      </c>
      <c r="AR26" s="107">
        <f>+AR27+AR28</f>
        <v>283</v>
      </c>
      <c r="AS26" s="107">
        <f>+AS27+AS28</f>
        <v>653</v>
      </c>
      <c r="AT26" s="107">
        <f>+AT27+AT28</f>
        <v>449</v>
      </c>
      <c r="AU26" s="107">
        <f>+AU27+AU28</f>
        <v>233</v>
      </c>
      <c r="AV26" s="107">
        <f t="shared" ref="AV26:BC26" si="7">+AV27+AV28</f>
        <v>415</v>
      </c>
      <c r="AW26" s="107">
        <f t="shared" si="7"/>
        <v>602</v>
      </c>
      <c r="AX26" s="107">
        <f t="shared" si="7"/>
        <v>310</v>
      </c>
      <c r="AY26" s="107">
        <f t="shared" si="7"/>
        <v>352</v>
      </c>
      <c r="AZ26" s="107">
        <f t="shared" si="7"/>
        <v>403</v>
      </c>
      <c r="BA26" s="107">
        <f t="shared" si="7"/>
        <v>533</v>
      </c>
      <c r="BB26" s="107">
        <f t="shared" si="7"/>
        <v>368</v>
      </c>
      <c r="BC26" s="107">
        <f t="shared" si="7"/>
        <v>228</v>
      </c>
    </row>
    <row r="27" spans="1:55" ht="15" customHeight="1" outlineLevel="1" x14ac:dyDescent="0.2">
      <c r="A27" s="64"/>
      <c r="B27" s="24" t="s">
        <v>26</v>
      </c>
      <c r="C27" s="27">
        <v>175</v>
      </c>
      <c r="D27" s="27">
        <v>281</v>
      </c>
      <c r="E27" s="27">
        <v>503</v>
      </c>
      <c r="F27" s="27">
        <v>235</v>
      </c>
      <c r="G27" s="27">
        <v>388</v>
      </c>
      <c r="H27" s="27">
        <v>367</v>
      </c>
      <c r="I27" s="27">
        <v>563</v>
      </c>
      <c r="J27" s="27">
        <v>305</v>
      </c>
      <c r="K27" s="27">
        <v>325</v>
      </c>
      <c r="L27" s="27">
        <v>378</v>
      </c>
      <c r="M27" s="27">
        <v>563</v>
      </c>
      <c r="N27" s="27">
        <v>325</v>
      </c>
      <c r="O27" s="27">
        <v>262</v>
      </c>
      <c r="P27" s="27">
        <v>258</v>
      </c>
      <c r="Q27" s="27">
        <v>571</v>
      </c>
      <c r="R27" s="27">
        <v>351</v>
      </c>
      <c r="S27" s="27">
        <v>243</v>
      </c>
      <c r="T27" s="27">
        <v>376</v>
      </c>
      <c r="U27" s="27">
        <v>550</v>
      </c>
      <c r="V27" s="27">
        <v>307</v>
      </c>
      <c r="W27" s="27">
        <v>248</v>
      </c>
      <c r="X27" s="27">
        <v>418</v>
      </c>
      <c r="Y27" s="27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0">
        <v>391</v>
      </c>
      <c r="AO27" s="60">
        <v>488</v>
      </c>
      <c r="AP27" s="60">
        <v>335</v>
      </c>
      <c r="AQ27" s="60">
        <v>196</v>
      </c>
      <c r="AR27" s="60">
        <v>254</v>
      </c>
      <c r="AS27" s="60">
        <v>527</v>
      </c>
      <c r="AT27" s="60">
        <v>390</v>
      </c>
      <c r="AU27" s="60">
        <v>231</v>
      </c>
      <c r="AV27" s="60">
        <v>375</v>
      </c>
      <c r="AW27" s="60">
        <v>537</v>
      </c>
      <c r="AX27" s="60">
        <v>303</v>
      </c>
      <c r="AY27" s="60">
        <v>313</v>
      </c>
      <c r="AZ27" s="60">
        <v>345</v>
      </c>
      <c r="BA27" s="60">
        <v>484</v>
      </c>
      <c r="BB27" s="60">
        <v>354</v>
      </c>
      <c r="BC27" s="60">
        <v>209</v>
      </c>
    </row>
    <row r="28" spans="1:55" ht="15" customHeight="1" outlineLevel="1" x14ac:dyDescent="0.2">
      <c r="A28" s="64"/>
      <c r="B28" s="24" t="s">
        <v>27</v>
      </c>
      <c r="C28" s="27">
        <v>9</v>
      </c>
      <c r="D28" s="27">
        <v>10</v>
      </c>
      <c r="E28" s="27">
        <v>42</v>
      </c>
      <c r="F28" s="27">
        <v>17</v>
      </c>
      <c r="G28" s="27">
        <v>17</v>
      </c>
      <c r="H28" s="27">
        <v>4</v>
      </c>
      <c r="I28" s="27">
        <v>83</v>
      </c>
      <c r="J28" s="27">
        <v>16</v>
      </c>
      <c r="K28" s="27">
        <v>18</v>
      </c>
      <c r="L28" s="27">
        <v>19</v>
      </c>
      <c r="M28" s="27">
        <v>26</v>
      </c>
      <c r="N28" s="27">
        <v>7</v>
      </c>
      <c r="O28" s="27">
        <v>22</v>
      </c>
      <c r="P28" s="27">
        <v>9</v>
      </c>
      <c r="Q28" s="27">
        <v>21</v>
      </c>
      <c r="R28" s="27">
        <v>16</v>
      </c>
      <c r="S28" s="27">
        <v>24</v>
      </c>
      <c r="T28" s="27">
        <v>10</v>
      </c>
      <c r="U28" s="27">
        <v>32</v>
      </c>
      <c r="V28" s="27">
        <v>8</v>
      </c>
      <c r="W28" s="27">
        <v>37</v>
      </c>
      <c r="X28" s="27">
        <v>14</v>
      </c>
      <c r="Y28" s="27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3">
        <v>29</v>
      </c>
      <c r="AS28" s="3">
        <v>126</v>
      </c>
      <c r="AT28" s="3">
        <v>59</v>
      </c>
      <c r="AU28" s="3">
        <v>2</v>
      </c>
      <c r="AV28" s="60">
        <v>40</v>
      </c>
      <c r="AW28" s="60">
        <v>65</v>
      </c>
      <c r="AX28" s="60">
        <v>7</v>
      </c>
      <c r="AY28" s="60">
        <v>39</v>
      </c>
      <c r="AZ28" s="60">
        <v>58</v>
      </c>
      <c r="BA28" s="60">
        <v>49</v>
      </c>
      <c r="BB28" s="60">
        <v>14</v>
      </c>
      <c r="BC28" s="60">
        <v>19</v>
      </c>
    </row>
    <row r="29" spans="1:55" ht="15" customHeight="1" outlineLevel="1" x14ac:dyDescent="0.2">
      <c r="A29" s="64"/>
      <c r="B29" s="24" t="s">
        <v>198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3"/>
      <c r="AS29" s="3">
        <v>8</v>
      </c>
      <c r="AT29" s="3">
        <v>11</v>
      </c>
      <c r="AU29" s="3"/>
      <c r="AV29" s="60"/>
      <c r="AW29" s="60">
        <v>18</v>
      </c>
      <c r="AX29" s="60">
        <v>11</v>
      </c>
      <c r="AY29" s="60">
        <v>14</v>
      </c>
      <c r="AZ29" s="60">
        <v>15</v>
      </c>
      <c r="BA29" s="60">
        <v>30</v>
      </c>
      <c r="BB29" s="60">
        <v>20</v>
      </c>
      <c r="BC29" s="60">
        <v>23</v>
      </c>
    </row>
    <row r="30" spans="1:55" ht="15" customHeight="1" outlineLevel="1" x14ac:dyDescent="0.2">
      <c r="A30" s="64"/>
      <c r="B30" s="68" t="s">
        <v>28</v>
      </c>
      <c r="C30" s="70">
        <v>5.7130000000000001</v>
      </c>
      <c r="D30" s="70">
        <v>1.9410000000000001</v>
      </c>
      <c r="E30" s="70">
        <v>3.0790000000000002</v>
      </c>
      <c r="F30" s="70">
        <v>0.2</v>
      </c>
      <c r="G30" s="70">
        <v>0.375</v>
      </c>
      <c r="H30" s="70">
        <v>2.7549999999999999</v>
      </c>
      <c r="I30" s="70">
        <v>15.566000000000001</v>
      </c>
      <c r="J30" s="70">
        <v>8.4600000000000009</v>
      </c>
      <c r="K30" s="70">
        <v>10.275</v>
      </c>
      <c r="L30" s="70">
        <v>1.7</v>
      </c>
      <c r="M30" s="70">
        <v>15.26</v>
      </c>
      <c r="N30" s="70">
        <v>10.8</v>
      </c>
      <c r="O30" s="70">
        <v>0.35</v>
      </c>
      <c r="P30" s="70">
        <v>1.0509999999999999</v>
      </c>
      <c r="Q30" s="70">
        <v>0.15</v>
      </c>
      <c r="R30" s="70">
        <v>15.875</v>
      </c>
      <c r="S30" s="70">
        <v>0.25</v>
      </c>
      <c r="T30" s="70">
        <v>0</v>
      </c>
      <c r="U30" s="70">
        <v>0.25</v>
      </c>
      <c r="V30" s="70">
        <v>9.7750000000000004</v>
      </c>
      <c r="W30" s="70">
        <v>8.5749999999999993</v>
      </c>
      <c r="X30" s="70">
        <v>2.15</v>
      </c>
      <c r="Y30" s="70">
        <v>11.972</v>
      </c>
      <c r="Z30" s="19">
        <v>3.2749999999999999</v>
      </c>
      <c r="AA30" s="19">
        <v>5.8719999999999999</v>
      </c>
      <c r="AB30" s="19">
        <v>2.4950000000000001</v>
      </c>
      <c r="AC30" s="19">
        <v>0.115</v>
      </c>
      <c r="AD30" s="19">
        <v>9.5000000000000001E-2</v>
      </c>
      <c r="AE30" s="19">
        <v>5.05</v>
      </c>
      <c r="AF30" s="19">
        <v>2.7</v>
      </c>
      <c r="AG30" s="19">
        <v>0</v>
      </c>
      <c r="AH30" s="19">
        <v>0.08</v>
      </c>
      <c r="AI30" s="19">
        <v>0</v>
      </c>
      <c r="AJ30" s="19">
        <v>1.1499999999999999</v>
      </c>
      <c r="AK30" s="19">
        <v>51</v>
      </c>
      <c r="AL30" s="19">
        <v>79</v>
      </c>
      <c r="AM30" s="19">
        <v>99</v>
      </c>
      <c r="AN30" s="19">
        <v>45</v>
      </c>
      <c r="AO30" s="19">
        <v>33</v>
      </c>
      <c r="AP30" s="19">
        <v>70</v>
      </c>
      <c r="AQ30" s="19">
        <v>131</v>
      </c>
      <c r="AR30" s="19">
        <v>121</v>
      </c>
      <c r="AS30" s="19">
        <v>94</v>
      </c>
      <c r="AT30" s="19">
        <v>69</v>
      </c>
      <c r="AU30" s="19">
        <v>110</v>
      </c>
      <c r="AV30" s="19">
        <v>70</v>
      </c>
      <c r="AW30" s="19">
        <v>86</v>
      </c>
      <c r="AX30" s="19">
        <v>60</v>
      </c>
      <c r="AY30" s="19">
        <v>187</v>
      </c>
      <c r="AZ30" s="19">
        <v>122</v>
      </c>
      <c r="BA30" s="19">
        <v>55</v>
      </c>
      <c r="BB30" s="19">
        <v>124</v>
      </c>
      <c r="BC30" s="29">
        <v>101</v>
      </c>
    </row>
    <row r="31" spans="1:55" ht="15" customHeight="1" outlineLevel="1" x14ac:dyDescent="0.2">
      <c r="A31" s="64"/>
      <c r="B31" s="40" t="s">
        <v>29</v>
      </c>
      <c r="C31" s="99">
        <f t="shared" ref="C31:AX31" si="8">C37+C40+C43</f>
        <v>181</v>
      </c>
      <c r="D31" s="99">
        <f t="shared" si="8"/>
        <v>288</v>
      </c>
      <c r="E31" s="99">
        <f t="shared" si="8"/>
        <v>543</v>
      </c>
      <c r="F31" s="99">
        <f t="shared" si="8"/>
        <v>251</v>
      </c>
      <c r="G31" s="99">
        <f t="shared" si="8"/>
        <v>402</v>
      </c>
      <c r="H31" s="99">
        <f t="shared" si="8"/>
        <v>367</v>
      </c>
      <c r="I31" s="99">
        <f t="shared" si="8"/>
        <v>643</v>
      </c>
      <c r="J31" s="99">
        <f t="shared" si="8"/>
        <v>321</v>
      </c>
      <c r="K31" s="99">
        <f t="shared" si="8"/>
        <v>343</v>
      </c>
      <c r="L31" s="99">
        <f t="shared" si="8"/>
        <v>396</v>
      </c>
      <c r="M31" s="99">
        <f t="shared" si="8"/>
        <v>587</v>
      </c>
      <c r="N31" s="99">
        <f t="shared" si="8"/>
        <v>332</v>
      </c>
      <c r="O31" s="99">
        <f t="shared" si="8"/>
        <v>283</v>
      </c>
      <c r="P31" s="99">
        <f t="shared" si="8"/>
        <v>266</v>
      </c>
      <c r="Q31" s="99">
        <f t="shared" si="8"/>
        <v>591</v>
      </c>
      <c r="R31" s="99">
        <f t="shared" si="8"/>
        <v>367</v>
      </c>
      <c r="S31" s="99">
        <f t="shared" si="8"/>
        <v>266</v>
      </c>
      <c r="T31" s="99">
        <f t="shared" si="8"/>
        <v>385</v>
      </c>
      <c r="U31" s="99">
        <f t="shared" si="8"/>
        <v>580</v>
      </c>
      <c r="V31" s="99">
        <f t="shared" si="8"/>
        <v>315</v>
      </c>
      <c r="W31" s="99">
        <f t="shared" si="8"/>
        <v>283</v>
      </c>
      <c r="X31" s="99">
        <f t="shared" si="8"/>
        <v>431</v>
      </c>
      <c r="Y31" s="99">
        <f t="shared" si="8"/>
        <v>588</v>
      </c>
      <c r="Z31" s="99">
        <f t="shared" si="8"/>
        <v>347</v>
      </c>
      <c r="AA31" s="99">
        <f t="shared" si="8"/>
        <v>296</v>
      </c>
      <c r="AB31" s="99">
        <f t="shared" si="8"/>
        <v>453</v>
      </c>
      <c r="AC31" s="99">
        <f t="shared" si="8"/>
        <v>634</v>
      </c>
      <c r="AD31" s="99">
        <f t="shared" si="8"/>
        <v>375</v>
      </c>
      <c r="AE31" s="99">
        <f t="shared" si="8"/>
        <v>220</v>
      </c>
      <c r="AF31" s="99">
        <f t="shared" si="8"/>
        <v>270</v>
      </c>
      <c r="AG31" s="99">
        <f t="shared" si="8"/>
        <v>757</v>
      </c>
      <c r="AH31" s="99">
        <f t="shared" si="8"/>
        <v>347</v>
      </c>
      <c r="AI31" s="99">
        <f t="shared" si="8"/>
        <v>242</v>
      </c>
      <c r="AJ31" s="99">
        <f t="shared" si="8"/>
        <v>401</v>
      </c>
      <c r="AK31" s="99">
        <f t="shared" si="8"/>
        <v>563</v>
      </c>
      <c r="AL31" s="99">
        <f t="shared" si="8"/>
        <v>384</v>
      </c>
      <c r="AM31" s="99">
        <f t="shared" si="8"/>
        <v>320</v>
      </c>
      <c r="AN31" s="99">
        <f t="shared" si="8"/>
        <v>406</v>
      </c>
      <c r="AO31" s="99">
        <f t="shared" si="8"/>
        <v>568.13799999999992</v>
      </c>
      <c r="AP31" s="99">
        <f t="shared" si="8"/>
        <v>389</v>
      </c>
      <c r="AQ31" s="99">
        <f t="shared" si="8"/>
        <v>220</v>
      </c>
      <c r="AR31" s="99">
        <f t="shared" si="8"/>
        <v>284</v>
      </c>
      <c r="AS31" s="99">
        <f t="shared" si="8"/>
        <v>660</v>
      </c>
      <c r="AT31" s="99">
        <f t="shared" si="8"/>
        <v>462</v>
      </c>
      <c r="AU31" s="99">
        <f t="shared" si="8"/>
        <v>241</v>
      </c>
      <c r="AV31" s="99">
        <f t="shared" si="8"/>
        <v>417</v>
      </c>
      <c r="AW31" s="99">
        <f t="shared" si="8"/>
        <v>619</v>
      </c>
      <c r="AX31" s="99">
        <f t="shared" si="8"/>
        <v>320</v>
      </c>
      <c r="AY31" s="99">
        <f>AY37+AY40+AY43</f>
        <v>366</v>
      </c>
      <c r="AZ31" s="99">
        <f>AZ37+AZ40+AZ43</f>
        <v>418</v>
      </c>
      <c r="BA31" s="99">
        <f>BA37+BA40+BA43</f>
        <v>563</v>
      </c>
      <c r="BB31" s="99">
        <f>BB37+BB40+BB43</f>
        <v>389</v>
      </c>
      <c r="BC31" s="99">
        <f>BC37+BC40+BC43</f>
        <v>251</v>
      </c>
    </row>
    <row r="32" spans="1:55" ht="15" customHeight="1" outlineLevel="1" x14ac:dyDescent="0.2">
      <c r="A32" s="64"/>
      <c r="B32" s="58" t="s">
        <v>1</v>
      </c>
      <c r="C32" s="60">
        <v>16</v>
      </c>
      <c r="D32" s="60">
        <v>38</v>
      </c>
      <c r="E32" s="60">
        <v>210</v>
      </c>
      <c r="F32" s="60">
        <v>42</v>
      </c>
      <c r="G32" s="60">
        <v>13</v>
      </c>
      <c r="H32" s="60">
        <v>69</v>
      </c>
      <c r="I32" s="60">
        <v>191</v>
      </c>
      <c r="J32" s="60">
        <v>46</v>
      </c>
      <c r="K32" s="60">
        <v>16</v>
      </c>
      <c r="L32" s="60">
        <v>50</v>
      </c>
      <c r="M32" s="60">
        <v>210</v>
      </c>
      <c r="N32" s="60">
        <v>66</v>
      </c>
      <c r="O32" s="60">
        <v>17</v>
      </c>
      <c r="P32" s="60">
        <v>8</v>
      </c>
      <c r="Q32" s="60">
        <v>208</v>
      </c>
      <c r="R32" s="60">
        <v>73</v>
      </c>
      <c r="S32" s="60">
        <v>8</v>
      </c>
      <c r="T32" s="60">
        <v>48</v>
      </c>
      <c r="U32" s="60">
        <v>172</v>
      </c>
      <c r="V32" s="60">
        <v>52</v>
      </c>
      <c r="W32" s="60">
        <v>12</v>
      </c>
      <c r="X32" s="60">
        <v>51</v>
      </c>
      <c r="Y32" s="60">
        <v>166</v>
      </c>
      <c r="Z32" s="60">
        <v>33</v>
      </c>
      <c r="AA32" s="3">
        <v>17</v>
      </c>
      <c r="AB32" s="3">
        <v>37</v>
      </c>
      <c r="AC32" s="3">
        <v>159</v>
      </c>
      <c r="AD32" s="3">
        <v>43</v>
      </c>
      <c r="AE32" s="3">
        <v>13</v>
      </c>
      <c r="AF32" s="3">
        <v>2</v>
      </c>
      <c r="AG32" s="3">
        <v>182</v>
      </c>
      <c r="AH32" s="3">
        <v>30</v>
      </c>
      <c r="AI32" s="3">
        <v>0</v>
      </c>
      <c r="AJ32" s="3">
        <v>0</v>
      </c>
      <c r="AK32" s="3">
        <v>139</v>
      </c>
      <c r="AL32" s="3">
        <v>97</v>
      </c>
      <c r="AM32" s="3">
        <v>24</v>
      </c>
      <c r="AN32" s="3">
        <v>55</v>
      </c>
      <c r="AO32" s="94">
        <v>154</v>
      </c>
      <c r="AP32" s="3">
        <v>83</v>
      </c>
      <c r="AQ32" s="94">
        <v>24</v>
      </c>
      <c r="AR32" s="94">
        <v>26</v>
      </c>
      <c r="AS32" s="94">
        <v>206</v>
      </c>
      <c r="AT32" s="94">
        <v>104</v>
      </c>
      <c r="AU32" s="94">
        <v>16</v>
      </c>
      <c r="AV32" s="60">
        <v>35</v>
      </c>
      <c r="AW32" s="60">
        <v>155</v>
      </c>
      <c r="AX32" s="60">
        <v>57</v>
      </c>
      <c r="AY32" s="60"/>
      <c r="AZ32" s="60"/>
      <c r="BA32" s="60"/>
    </row>
    <row r="33" spans="1:55" ht="15" customHeight="1" outlineLevel="1" x14ac:dyDescent="0.2">
      <c r="A33" s="64"/>
      <c r="B33" s="58" t="s">
        <v>2</v>
      </c>
      <c r="C33" s="60">
        <v>26</v>
      </c>
      <c r="D33" s="60">
        <v>28</v>
      </c>
      <c r="E33" s="60">
        <v>150</v>
      </c>
      <c r="F33" s="60">
        <v>41</v>
      </c>
      <c r="G33" s="60">
        <v>42</v>
      </c>
      <c r="H33" s="60">
        <v>49</v>
      </c>
      <c r="I33" s="60">
        <v>129</v>
      </c>
      <c r="J33" s="60">
        <v>81</v>
      </c>
      <c r="K33" s="60">
        <v>22</v>
      </c>
      <c r="L33" s="60">
        <v>34</v>
      </c>
      <c r="M33" s="60">
        <v>135</v>
      </c>
      <c r="N33" s="60">
        <v>94</v>
      </c>
      <c r="O33" s="60">
        <v>26</v>
      </c>
      <c r="P33" s="60">
        <v>11</v>
      </c>
      <c r="Q33" s="60">
        <v>160</v>
      </c>
      <c r="R33" s="60">
        <v>117</v>
      </c>
      <c r="S33" s="60">
        <v>26</v>
      </c>
      <c r="T33" s="60">
        <v>43</v>
      </c>
      <c r="U33" s="60">
        <v>148</v>
      </c>
      <c r="V33" s="60">
        <v>98</v>
      </c>
      <c r="W33" s="60">
        <v>37</v>
      </c>
      <c r="X33" s="60">
        <v>54</v>
      </c>
      <c r="Y33" s="60">
        <v>146</v>
      </c>
      <c r="Z33" s="60">
        <v>110</v>
      </c>
      <c r="AA33" s="3">
        <v>44</v>
      </c>
      <c r="AB33" s="3">
        <v>39</v>
      </c>
      <c r="AC33" s="3">
        <v>185</v>
      </c>
      <c r="AD33" s="3">
        <v>97</v>
      </c>
      <c r="AE33" s="3">
        <v>34</v>
      </c>
      <c r="AF33" s="3">
        <v>5</v>
      </c>
      <c r="AG33" s="3">
        <v>210</v>
      </c>
      <c r="AH33" s="3">
        <v>88</v>
      </c>
      <c r="AI33" s="3">
        <v>0</v>
      </c>
      <c r="AJ33" s="3">
        <v>0</v>
      </c>
      <c r="AK33" s="3">
        <v>0</v>
      </c>
      <c r="AL33" s="3">
        <v>4</v>
      </c>
      <c r="AM33" s="3">
        <v>1</v>
      </c>
      <c r="AN33" s="3">
        <v>0</v>
      </c>
      <c r="AO33" s="94">
        <v>0</v>
      </c>
      <c r="AP33" s="3">
        <v>0</v>
      </c>
      <c r="AQ33" s="94">
        <v>0</v>
      </c>
      <c r="AR33" s="94">
        <v>0</v>
      </c>
      <c r="AS33" s="94">
        <v>0</v>
      </c>
      <c r="AT33" s="94">
        <v>51</v>
      </c>
      <c r="AU33" s="94">
        <v>0</v>
      </c>
      <c r="AV33" s="94">
        <v>0</v>
      </c>
      <c r="AW33" s="94">
        <v>0</v>
      </c>
      <c r="AX33" s="60">
        <v>0</v>
      </c>
      <c r="AY33" s="60"/>
      <c r="AZ33" s="60"/>
      <c r="BA33" s="60"/>
    </row>
    <row r="34" spans="1:55" ht="15" customHeight="1" outlineLevel="1" x14ac:dyDescent="0.2">
      <c r="A34" s="64"/>
      <c r="B34" s="58" t="s">
        <v>3</v>
      </c>
      <c r="C34" s="60">
        <v>8</v>
      </c>
      <c r="D34" s="60">
        <v>3</v>
      </c>
      <c r="E34" s="60">
        <v>27</v>
      </c>
      <c r="F34" s="60">
        <v>11</v>
      </c>
      <c r="G34" s="60">
        <v>12</v>
      </c>
      <c r="H34" s="60">
        <v>21</v>
      </c>
      <c r="I34" s="60">
        <v>31</v>
      </c>
      <c r="J34" s="60">
        <v>27</v>
      </c>
      <c r="K34" s="60">
        <v>11</v>
      </c>
      <c r="L34" s="60">
        <v>12</v>
      </c>
      <c r="M34" s="60">
        <v>24</v>
      </c>
      <c r="N34" s="60">
        <v>26</v>
      </c>
      <c r="O34" s="60">
        <v>7</v>
      </c>
      <c r="P34" s="60">
        <v>4</v>
      </c>
      <c r="Q34" s="60">
        <v>28</v>
      </c>
      <c r="R34" s="60">
        <v>16</v>
      </c>
      <c r="S34" s="60">
        <v>5</v>
      </c>
      <c r="T34" s="60">
        <v>5</v>
      </c>
      <c r="U34" s="60">
        <v>22</v>
      </c>
      <c r="V34" s="60">
        <v>17</v>
      </c>
      <c r="W34" s="60">
        <v>6</v>
      </c>
      <c r="X34" s="60">
        <v>8</v>
      </c>
      <c r="Y34" s="60">
        <v>26</v>
      </c>
      <c r="Z34" s="60">
        <v>25</v>
      </c>
      <c r="AA34" s="3">
        <v>11</v>
      </c>
      <c r="AB34" s="3">
        <v>5</v>
      </c>
      <c r="AC34" s="3">
        <v>24</v>
      </c>
      <c r="AD34" s="3">
        <v>26</v>
      </c>
      <c r="AE34" s="3">
        <v>0</v>
      </c>
      <c r="AF34" s="3">
        <v>3</v>
      </c>
      <c r="AG34" s="3">
        <v>20</v>
      </c>
      <c r="AH34" s="3">
        <v>24</v>
      </c>
      <c r="AI34" s="3">
        <v>5</v>
      </c>
      <c r="AJ34" s="3">
        <v>14</v>
      </c>
      <c r="AK34" s="3">
        <v>39</v>
      </c>
      <c r="AL34" s="3">
        <v>48</v>
      </c>
      <c r="AM34" s="3">
        <v>14</v>
      </c>
      <c r="AN34" s="3">
        <v>10</v>
      </c>
      <c r="AO34" s="94">
        <v>34</v>
      </c>
      <c r="AP34" s="3">
        <v>39</v>
      </c>
      <c r="AQ34" s="94">
        <v>16</v>
      </c>
      <c r="AR34" s="94">
        <v>6</v>
      </c>
      <c r="AS34" s="94">
        <v>40</v>
      </c>
      <c r="AT34" s="94">
        <v>100</v>
      </c>
      <c r="AU34" s="94">
        <v>12</v>
      </c>
      <c r="AV34" s="60">
        <v>6</v>
      </c>
      <c r="AW34" s="60">
        <v>34</v>
      </c>
      <c r="AX34" s="60">
        <v>25</v>
      </c>
      <c r="AY34" s="60"/>
      <c r="AZ34" s="60"/>
      <c r="BA34" s="60"/>
    </row>
    <row r="35" spans="1:55" ht="15" customHeight="1" outlineLevel="1" x14ac:dyDescent="0.2">
      <c r="A35" s="64"/>
      <c r="B35" s="58" t="s">
        <v>4</v>
      </c>
      <c r="C35" s="60">
        <v>15</v>
      </c>
      <c r="D35" s="60">
        <v>27</v>
      </c>
      <c r="E35" s="60">
        <v>59</v>
      </c>
      <c r="F35" s="60">
        <v>36</v>
      </c>
      <c r="G35" s="60">
        <v>21</v>
      </c>
      <c r="H35" s="60">
        <v>34</v>
      </c>
      <c r="I35" s="60">
        <v>84</v>
      </c>
      <c r="J35" s="60">
        <v>43</v>
      </c>
      <c r="K35" s="60">
        <v>14</v>
      </c>
      <c r="L35" s="60">
        <v>17</v>
      </c>
      <c r="M35" s="60">
        <v>38</v>
      </c>
      <c r="N35" s="60">
        <v>36</v>
      </c>
      <c r="O35" s="60">
        <v>12</v>
      </c>
      <c r="P35" s="60">
        <v>5</v>
      </c>
      <c r="Q35" s="60">
        <v>33</v>
      </c>
      <c r="R35" s="60">
        <v>15</v>
      </c>
      <c r="S35" s="60">
        <v>4</v>
      </c>
      <c r="T35" s="60">
        <v>13</v>
      </c>
      <c r="U35" s="60">
        <v>27</v>
      </c>
      <c r="V35" s="60">
        <v>37</v>
      </c>
      <c r="W35" s="60">
        <v>19</v>
      </c>
      <c r="X35" s="60">
        <v>24</v>
      </c>
      <c r="Y35" s="60">
        <v>25</v>
      </c>
      <c r="Z35" s="60">
        <v>57</v>
      </c>
      <c r="AA35" s="3">
        <v>9</v>
      </c>
      <c r="AB35" s="3">
        <v>16</v>
      </c>
      <c r="AC35" s="3">
        <v>51</v>
      </c>
      <c r="AD35" s="3">
        <v>53</v>
      </c>
      <c r="AE35" s="3">
        <v>15</v>
      </c>
      <c r="AF35" s="3">
        <v>6</v>
      </c>
      <c r="AG35" s="3">
        <v>99</v>
      </c>
      <c r="AH35" s="3">
        <v>85</v>
      </c>
      <c r="AI35" s="3">
        <v>31</v>
      </c>
      <c r="AJ35" s="3">
        <v>70</v>
      </c>
      <c r="AK35" s="3">
        <v>83</v>
      </c>
      <c r="AL35" s="3">
        <v>108</v>
      </c>
      <c r="AM35" s="3">
        <v>26</v>
      </c>
      <c r="AN35" s="3">
        <v>39</v>
      </c>
      <c r="AO35" s="94">
        <v>69</v>
      </c>
      <c r="AP35" s="3">
        <v>102</v>
      </c>
      <c r="AQ35" s="94">
        <v>34</v>
      </c>
      <c r="AR35" s="94">
        <v>20</v>
      </c>
      <c r="AS35" s="94">
        <v>111</v>
      </c>
      <c r="AT35" s="94">
        <v>3</v>
      </c>
      <c r="AU35" s="94">
        <v>30</v>
      </c>
      <c r="AV35" s="60">
        <v>9</v>
      </c>
      <c r="AW35" s="60">
        <v>116</v>
      </c>
      <c r="AX35" s="60">
        <v>91</v>
      </c>
      <c r="AY35" s="60"/>
      <c r="AZ35" s="60"/>
      <c r="BA35" s="60"/>
    </row>
    <row r="36" spans="1:55" ht="15" customHeight="1" outlineLevel="1" x14ac:dyDescent="0.2">
      <c r="A36" s="64"/>
      <c r="B36" s="58" t="s">
        <v>75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94"/>
      <c r="AP36" s="3">
        <v>4</v>
      </c>
      <c r="AQ36" s="94">
        <v>1</v>
      </c>
      <c r="AR36" s="94">
        <v>2</v>
      </c>
      <c r="AS36" s="94">
        <v>7</v>
      </c>
      <c r="AT36" s="94">
        <v>3</v>
      </c>
      <c r="AU36" s="94">
        <v>2</v>
      </c>
      <c r="AV36" s="60">
        <v>1</v>
      </c>
      <c r="AW36" s="60">
        <v>12</v>
      </c>
      <c r="AX36" s="60">
        <v>2</v>
      </c>
      <c r="AY36" s="60"/>
      <c r="AZ36" s="60"/>
      <c r="BA36" s="60"/>
    </row>
    <row r="37" spans="1:55" ht="15" customHeight="1" outlineLevel="1" x14ac:dyDescent="0.2">
      <c r="A37" s="64"/>
      <c r="B37" s="114" t="s">
        <v>223</v>
      </c>
      <c r="C37" s="117">
        <f t="shared" ref="C37:AM37" si="9">SUM(C32:C36)</f>
        <v>65</v>
      </c>
      <c r="D37" s="117">
        <f t="shared" si="9"/>
        <v>96</v>
      </c>
      <c r="E37" s="117">
        <f t="shared" si="9"/>
        <v>446</v>
      </c>
      <c r="F37" s="117">
        <f t="shared" si="9"/>
        <v>130</v>
      </c>
      <c r="G37" s="117">
        <f t="shared" si="9"/>
        <v>88</v>
      </c>
      <c r="H37" s="117">
        <f t="shared" si="9"/>
        <v>173</v>
      </c>
      <c r="I37" s="117">
        <f t="shared" si="9"/>
        <v>435</v>
      </c>
      <c r="J37" s="117">
        <f t="shared" si="9"/>
        <v>197</v>
      </c>
      <c r="K37" s="117">
        <f t="shared" si="9"/>
        <v>63</v>
      </c>
      <c r="L37" s="117">
        <f t="shared" si="9"/>
        <v>113</v>
      </c>
      <c r="M37" s="117">
        <f t="shared" si="9"/>
        <v>407</v>
      </c>
      <c r="N37" s="117">
        <f t="shared" si="9"/>
        <v>222</v>
      </c>
      <c r="O37" s="117">
        <f t="shared" si="9"/>
        <v>62</v>
      </c>
      <c r="P37" s="117">
        <f t="shared" si="9"/>
        <v>28</v>
      </c>
      <c r="Q37" s="117">
        <f t="shared" si="9"/>
        <v>429</v>
      </c>
      <c r="R37" s="117">
        <f t="shared" si="9"/>
        <v>221</v>
      </c>
      <c r="S37" s="117">
        <f t="shared" si="9"/>
        <v>43</v>
      </c>
      <c r="T37" s="117">
        <f t="shared" si="9"/>
        <v>109</v>
      </c>
      <c r="U37" s="117">
        <f t="shared" si="9"/>
        <v>369</v>
      </c>
      <c r="V37" s="117">
        <f t="shared" si="9"/>
        <v>204</v>
      </c>
      <c r="W37" s="117">
        <f t="shared" si="9"/>
        <v>74</v>
      </c>
      <c r="X37" s="117">
        <f t="shared" si="9"/>
        <v>137</v>
      </c>
      <c r="Y37" s="117">
        <f t="shared" si="9"/>
        <v>363</v>
      </c>
      <c r="Z37" s="117">
        <f t="shared" si="9"/>
        <v>225</v>
      </c>
      <c r="AA37" s="117">
        <f t="shared" si="9"/>
        <v>81</v>
      </c>
      <c r="AB37" s="117">
        <f t="shared" si="9"/>
        <v>97</v>
      </c>
      <c r="AC37" s="117">
        <f t="shared" si="9"/>
        <v>419</v>
      </c>
      <c r="AD37" s="117">
        <f t="shared" si="9"/>
        <v>219</v>
      </c>
      <c r="AE37" s="117">
        <f t="shared" si="9"/>
        <v>62</v>
      </c>
      <c r="AF37" s="117">
        <f t="shared" si="9"/>
        <v>16</v>
      </c>
      <c r="AG37" s="117">
        <f t="shared" si="9"/>
        <v>511</v>
      </c>
      <c r="AH37" s="117">
        <f t="shared" si="9"/>
        <v>227</v>
      </c>
      <c r="AI37" s="117">
        <f t="shared" si="9"/>
        <v>36</v>
      </c>
      <c r="AJ37" s="117">
        <f t="shared" si="9"/>
        <v>84</v>
      </c>
      <c r="AK37" s="117">
        <f t="shared" si="9"/>
        <v>261</v>
      </c>
      <c r="AL37" s="117">
        <f t="shared" si="9"/>
        <v>257</v>
      </c>
      <c r="AM37" s="117">
        <f t="shared" si="9"/>
        <v>65</v>
      </c>
      <c r="AN37" s="117">
        <f t="shared" ref="AN37:AT37" si="10">SUM(AN32:AN36)</f>
        <v>104</v>
      </c>
      <c r="AO37" s="117">
        <f t="shared" si="10"/>
        <v>257</v>
      </c>
      <c r="AP37" s="117">
        <f t="shared" si="10"/>
        <v>228</v>
      </c>
      <c r="AQ37" s="117">
        <f t="shared" si="10"/>
        <v>75</v>
      </c>
      <c r="AR37" s="117">
        <f t="shared" si="10"/>
        <v>54</v>
      </c>
      <c r="AS37" s="117">
        <f t="shared" si="10"/>
        <v>364</v>
      </c>
      <c r="AT37" s="117">
        <f t="shared" si="10"/>
        <v>261</v>
      </c>
      <c r="AU37" s="118">
        <v>60</v>
      </c>
      <c r="AV37" s="117">
        <f>SUM(AV32:AV36)</f>
        <v>51</v>
      </c>
      <c r="AW37" s="117">
        <f>SUM(AW32:AW36)</f>
        <v>317</v>
      </c>
      <c r="AX37" s="117">
        <f>SUM(AX32:AX36)</f>
        <v>175</v>
      </c>
      <c r="AY37" s="117">
        <v>67</v>
      </c>
      <c r="AZ37" s="117">
        <v>126</v>
      </c>
      <c r="BA37" s="117">
        <v>264</v>
      </c>
      <c r="BB37" s="117">
        <v>179</v>
      </c>
      <c r="BC37" s="117">
        <v>164</v>
      </c>
    </row>
    <row r="38" spans="1:55" ht="15" customHeight="1" outlineLevel="1" x14ac:dyDescent="0.2">
      <c r="A38" s="64"/>
      <c r="B38" s="58" t="s">
        <v>5</v>
      </c>
      <c r="C38" s="60">
        <v>11</v>
      </c>
      <c r="D38" s="60">
        <v>16</v>
      </c>
      <c r="E38" s="60">
        <v>14</v>
      </c>
      <c r="F38" s="60">
        <v>28</v>
      </c>
      <c r="G38" s="60">
        <v>107</v>
      </c>
      <c r="H38" s="60">
        <v>53</v>
      </c>
      <c r="I38" s="60">
        <v>29</v>
      </c>
      <c r="J38" s="60">
        <v>24</v>
      </c>
      <c r="K38" s="60">
        <v>88</v>
      </c>
      <c r="L38" s="60">
        <v>57</v>
      </c>
      <c r="M38" s="60">
        <v>20</v>
      </c>
      <c r="N38" s="60">
        <v>20</v>
      </c>
      <c r="O38" s="60">
        <v>59</v>
      </c>
      <c r="P38" s="60">
        <v>41</v>
      </c>
      <c r="Q38" s="60">
        <v>21</v>
      </c>
      <c r="R38" s="60">
        <v>19</v>
      </c>
      <c r="S38" s="60">
        <v>49</v>
      </c>
      <c r="T38" s="60">
        <v>50</v>
      </c>
      <c r="U38" s="60">
        <v>23</v>
      </c>
      <c r="V38" s="60">
        <v>16</v>
      </c>
      <c r="W38" s="60">
        <v>59</v>
      </c>
      <c r="X38" s="60">
        <v>55</v>
      </c>
      <c r="Y38" s="60">
        <v>21</v>
      </c>
      <c r="Z38" s="60">
        <v>25</v>
      </c>
      <c r="AA38" s="3">
        <v>61</v>
      </c>
      <c r="AB38" s="3">
        <v>65</v>
      </c>
      <c r="AC38" s="3">
        <v>31</v>
      </c>
      <c r="AD38" s="3">
        <v>24</v>
      </c>
      <c r="AE38" s="3">
        <v>37</v>
      </c>
      <c r="AF38" s="3">
        <v>26</v>
      </c>
      <c r="AG38" s="3">
        <v>32</v>
      </c>
      <c r="AH38" s="3">
        <v>16</v>
      </c>
      <c r="AI38" s="3">
        <v>88</v>
      </c>
      <c r="AJ38" s="3">
        <v>79</v>
      </c>
      <c r="AK38" s="3">
        <v>42</v>
      </c>
      <c r="AL38" s="3">
        <v>12</v>
      </c>
      <c r="AM38" s="3">
        <v>99</v>
      </c>
      <c r="AN38" s="3">
        <v>55</v>
      </c>
      <c r="AO38" s="94">
        <v>55</v>
      </c>
      <c r="AP38" s="3">
        <v>32</v>
      </c>
      <c r="AQ38" s="94">
        <v>36</v>
      </c>
      <c r="AR38" s="94">
        <v>20</v>
      </c>
      <c r="AS38" s="94">
        <v>29</v>
      </c>
      <c r="AT38" s="94">
        <v>25</v>
      </c>
      <c r="AU38" s="94">
        <v>53</v>
      </c>
      <c r="AV38" s="60">
        <v>94</v>
      </c>
      <c r="AW38" s="60">
        <v>53</v>
      </c>
      <c r="AX38" s="60">
        <v>40</v>
      </c>
      <c r="AY38" s="60"/>
      <c r="AZ38" s="60"/>
      <c r="BA38" s="60"/>
      <c r="BB38" s="60"/>
      <c r="BC38" s="60"/>
    </row>
    <row r="39" spans="1:55" ht="15" customHeight="1" outlineLevel="1" x14ac:dyDescent="0.2">
      <c r="A39" s="64"/>
      <c r="B39" s="103" t="s">
        <v>191</v>
      </c>
      <c r="C39" s="60">
        <v>105</v>
      </c>
      <c r="D39" s="60">
        <v>176</v>
      </c>
      <c r="E39" s="60">
        <v>83</v>
      </c>
      <c r="F39" s="60">
        <v>93</v>
      </c>
      <c r="G39" s="60">
        <v>207</v>
      </c>
      <c r="H39" s="60">
        <v>141</v>
      </c>
      <c r="I39" s="60">
        <v>179</v>
      </c>
      <c r="J39" s="60">
        <v>100</v>
      </c>
      <c r="K39" s="60">
        <v>192</v>
      </c>
      <c r="L39" s="60">
        <v>226</v>
      </c>
      <c r="M39" s="60">
        <v>160</v>
      </c>
      <c r="N39" s="60">
        <v>90</v>
      </c>
      <c r="O39" s="60">
        <v>162</v>
      </c>
      <c r="P39" s="60">
        <v>197</v>
      </c>
      <c r="Q39" s="60">
        <v>141</v>
      </c>
      <c r="R39" s="60">
        <v>127</v>
      </c>
      <c r="S39" s="60">
        <v>174</v>
      </c>
      <c r="T39" s="60">
        <v>226</v>
      </c>
      <c r="U39" s="60">
        <v>188</v>
      </c>
      <c r="V39" s="60">
        <v>95</v>
      </c>
      <c r="W39" s="60">
        <v>150</v>
      </c>
      <c r="X39" s="60">
        <v>239</v>
      </c>
      <c r="Y39" s="60">
        <v>204</v>
      </c>
      <c r="Z39" s="60">
        <v>97</v>
      </c>
      <c r="AA39" s="3">
        <v>154</v>
      </c>
      <c r="AB39" s="3">
        <v>291</v>
      </c>
      <c r="AC39" s="3">
        <v>184</v>
      </c>
      <c r="AD39" s="3">
        <v>132</v>
      </c>
      <c r="AE39" s="3">
        <v>121</v>
      </c>
      <c r="AF39" s="3">
        <v>228</v>
      </c>
      <c r="AG39" s="3">
        <v>214</v>
      </c>
      <c r="AH39" s="3">
        <v>104</v>
      </c>
      <c r="AI39" s="3">
        <v>118</v>
      </c>
      <c r="AJ39" s="3">
        <v>238</v>
      </c>
      <c r="AK39" s="3">
        <v>260</v>
      </c>
      <c r="AL39" s="3">
        <v>115</v>
      </c>
      <c r="AM39" s="3">
        <v>156</v>
      </c>
      <c r="AN39" s="3">
        <v>247</v>
      </c>
      <c r="AO39" s="94">
        <v>256.13799999999998</v>
      </c>
      <c r="AP39" s="3">
        <v>129</v>
      </c>
      <c r="AQ39" s="94">
        <v>109</v>
      </c>
      <c r="AR39" s="94">
        <v>210</v>
      </c>
      <c r="AS39" s="94">
        <v>258</v>
      </c>
      <c r="AT39" s="94">
        <v>165</v>
      </c>
      <c r="AU39" s="94">
        <v>121</v>
      </c>
      <c r="AV39" s="60">
        <v>272</v>
      </c>
      <c r="AW39" s="60">
        <v>231</v>
      </c>
      <c r="AX39" s="60">
        <v>95</v>
      </c>
      <c r="AY39" s="60"/>
      <c r="AZ39" s="60"/>
      <c r="BA39" s="60"/>
      <c r="BB39" s="60"/>
      <c r="BC39" s="60"/>
    </row>
    <row r="40" spans="1:55" ht="15" customHeight="1" outlineLevel="1" x14ac:dyDescent="0.2">
      <c r="A40" s="64"/>
      <c r="B40" s="115" t="s">
        <v>224</v>
      </c>
      <c r="C40" s="117">
        <f t="shared" ref="C40:AO40" si="11">SUM(C38:C39)</f>
        <v>116</v>
      </c>
      <c r="D40" s="117">
        <f t="shared" si="11"/>
        <v>192</v>
      </c>
      <c r="E40" s="117">
        <f t="shared" si="11"/>
        <v>97</v>
      </c>
      <c r="F40" s="117">
        <f t="shared" si="11"/>
        <v>121</v>
      </c>
      <c r="G40" s="117">
        <f t="shared" si="11"/>
        <v>314</v>
      </c>
      <c r="H40" s="117">
        <f t="shared" si="11"/>
        <v>194</v>
      </c>
      <c r="I40" s="117">
        <f t="shared" si="11"/>
        <v>208</v>
      </c>
      <c r="J40" s="117">
        <f t="shared" si="11"/>
        <v>124</v>
      </c>
      <c r="K40" s="117">
        <f t="shared" si="11"/>
        <v>280</v>
      </c>
      <c r="L40" s="117">
        <f t="shared" si="11"/>
        <v>283</v>
      </c>
      <c r="M40" s="117">
        <f t="shared" si="11"/>
        <v>180</v>
      </c>
      <c r="N40" s="117">
        <f t="shared" si="11"/>
        <v>110</v>
      </c>
      <c r="O40" s="117">
        <f t="shared" si="11"/>
        <v>221</v>
      </c>
      <c r="P40" s="117">
        <f t="shared" si="11"/>
        <v>238</v>
      </c>
      <c r="Q40" s="117">
        <f t="shared" si="11"/>
        <v>162</v>
      </c>
      <c r="R40" s="117">
        <f t="shared" si="11"/>
        <v>146</v>
      </c>
      <c r="S40" s="117">
        <f t="shared" si="11"/>
        <v>223</v>
      </c>
      <c r="T40" s="117">
        <f t="shared" si="11"/>
        <v>276</v>
      </c>
      <c r="U40" s="117">
        <f t="shared" si="11"/>
        <v>211</v>
      </c>
      <c r="V40" s="117">
        <f t="shared" si="11"/>
        <v>111</v>
      </c>
      <c r="W40" s="117">
        <f t="shared" si="11"/>
        <v>209</v>
      </c>
      <c r="X40" s="117">
        <f t="shared" si="11"/>
        <v>294</v>
      </c>
      <c r="Y40" s="117">
        <f t="shared" si="11"/>
        <v>225</v>
      </c>
      <c r="Z40" s="117">
        <f t="shared" si="11"/>
        <v>122</v>
      </c>
      <c r="AA40" s="117">
        <f t="shared" si="11"/>
        <v>215</v>
      </c>
      <c r="AB40" s="117">
        <f t="shared" si="11"/>
        <v>356</v>
      </c>
      <c r="AC40" s="117">
        <f t="shared" si="11"/>
        <v>215</v>
      </c>
      <c r="AD40" s="117">
        <f t="shared" si="11"/>
        <v>156</v>
      </c>
      <c r="AE40" s="117">
        <f t="shared" si="11"/>
        <v>158</v>
      </c>
      <c r="AF40" s="117">
        <f t="shared" si="11"/>
        <v>254</v>
      </c>
      <c r="AG40" s="117">
        <f t="shared" si="11"/>
        <v>246</v>
      </c>
      <c r="AH40" s="117">
        <f t="shared" si="11"/>
        <v>120</v>
      </c>
      <c r="AI40" s="117">
        <f t="shared" si="11"/>
        <v>206</v>
      </c>
      <c r="AJ40" s="117">
        <f t="shared" si="11"/>
        <v>317</v>
      </c>
      <c r="AK40" s="117">
        <f t="shared" si="11"/>
        <v>302</v>
      </c>
      <c r="AL40" s="117">
        <f t="shared" si="11"/>
        <v>127</v>
      </c>
      <c r="AM40" s="117">
        <f t="shared" si="11"/>
        <v>255</v>
      </c>
      <c r="AN40" s="117">
        <f t="shared" si="11"/>
        <v>302</v>
      </c>
      <c r="AO40" s="100">
        <f t="shared" si="11"/>
        <v>311.13799999999998</v>
      </c>
      <c r="AP40" s="117">
        <f>SUM(AP38:AP39)</f>
        <v>161</v>
      </c>
      <c r="AQ40" s="117">
        <f>SUM(AQ38:AQ39)</f>
        <v>145</v>
      </c>
      <c r="AR40" s="117">
        <f>SUM(AR38:AR39)</f>
        <v>230</v>
      </c>
      <c r="AS40" s="117">
        <f>SUM(AS38:AS39)</f>
        <v>287</v>
      </c>
      <c r="AT40" s="117">
        <f>SUM(AT38:AT39)</f>
        <v>190</v>
      </c>
      <c r="AU40" s="118">
        <v>174</v>
      </c>
      <c r="AV40" s="117">
        <f>SUM(AV38:AV39)</f>
        <v>366</v>
      </c>
      <c r="AW40" s="117">
        <f>SUM(AW38:AW39)</f>
        <v>284</v>
      </c>
      <c r="AX40" s="117">
        <f>SUM(AX38:AX39)</f>
        <v>135</v>
      </c>
      <c r="AY40" s="117">
        <v>285</v>
      </c>
      <c r="AZ40" s="117">
        <v>277</v>
      </c>
      <c r="BA40" s="117">
        <v>269</v>
      </c>
      <c r="BB40" s="117">
        <v>190</v>
      </c>
      <c r="BC40" s="117">
        <v>64</v>
      </c>
    </row>
    <row r="41" spans="1:55" ht="15" customHeight="1" outlineLevel="1" x14ac:dyDescent="0.2">
      <c r="A41" s="64"/>
      <c r="B41" s="58" t="s">
        <v>30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94"/>
      <c r="AP41" s="3"/>
      <c r="AQ41" s="94"/>
      <c r="AR41" s="94"/>
      <c r="AS41" s="94">
        <v>3</v>
      </c>
      <c r="AT41" s="94">
        <v>2</v>
      </c>
      <c r="AU41" s="94"/>
      <c r="AV41" s="60"/>
      <c r="AW41" s="60">
        <v>10</v>
      </c>
      <c r="AX41" s="60">
        <v>2</v>
      </c>
      <c r="AY41" s="60"/>
      <c r="AZ41" s="60"/>
      <c r="BA41" s="60"/>
      <c r="BB41" s="60"/>
      <c r="BC41" s="60"/>
    </row>
    <row r="42" spans="1:55" ht="15" customHeight="1" outlineLevel="1" x14ac:dyDescent="0.2">
      <c r="A42" s="64"/>
      <c r="B42" s="58" t="s">
        <v>215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94"/>
      <c r="AP42" s="3"/>
      <c r="AQ42" s="94"/>
      <c r="AR42" s="94"/>
      <c r="AS42" s="94">
        <v>6</v>
      </c>
      <c r="AT42" s="94">
        <v>9</v>
      </c>
      <c r="AU42" s="94"/>
      <c r="AV42" s="60"/>
      <c r="AW42" s="60">
        <v>8</v>
      </c>
      <c r="AX42" s="60">
        <v>8</v>
      </c>
      <c r="AY42" s="60"/>
      <c r="AZ42" s="60"/>
      <c r="BA42" s="60"/>
      <c r="BB42" s="60"/>
      <c r="BC42" s="60"/>
    </row>
    <row r="43" spans="1:55" ht="15" customHeight="1" outlineLevel="1" x14ac:dyDescent="0.2">
      <c r="A43" s="64"/>
      <c r="B43" s="116" t="s">
        <v>148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73"/>
      <c r="AP43" s="19"/>
      <c r="AQ43" s="73"/>
      <c r="AR43" s="73"/>
      <c r="AS43" s="117">
        <f>SUM(AS41:AS42)</f>
        <v>9</v>
      </c>
      <c r="AT43" s="117">
        <f>SUM(AT41:AT42)</f>
        <v>11</v>
      </c>
      <c r="AU43" s="119">
        <v>7</v>
      </c>
      <c r="AV43" s="29"/>
      <c r="AW43" s="117">
        <f>SUM(AW41:AW42)</f>
        <v>18</v>
      </c>
      <c r="AX43" s="117">
        <f>SUM(AX41:AX42)</f>
        <v>10</v>
      </c>
      <c r="AY43" s="117">
        <v>14</v>
      </c>
      <c r="AZ43" s="117">
        <v>15</v>
      </c>
      <c r="BA43" s="117">
        <v>30</v>
      </c>
      <c r="BB43" s="117">
        <v>20</v>
      </c>
      <c r="BC43" s="117">
        <v>23</v>
      </c>
    </row>
    <row r="44" spans="1:55" ht="15" customHeight="1" outlineLevel="1" x14ac:dyDescent="0.2">
      <c r="A44" s="64"/>
      <c r="B44" s="6" t="s">
        <v>72</v>
      </c>
      <c r="C44" s="30">
        <v>738</v>
      </c>
      <c r="D44" s="30">
        <v>574</v>
      </c>
      <c r="E44" s="30">
        <v>284</v>
      </c>
      <c r="F44" s="30">
        <v>306</v>
      </c>
      <c r="G44" s="30">
        <v>289</v>
      </c>
      <c r="H44" s="30">
        <v>276</v>
      </c>
      <c r="I44" s="30">
        <v>308</v>
      </c>
      <c r="J44" s="30">
        <v>286</v>
      </c>
      <c r="K44" s="30">
        <v>379</v>
      </c>
      <c r="L44" s="30">
        <v>396</v>
      </c>
      <c r="M44" s="30">
        <v>359</v>
      </c>
      <c r="N44" s="30">
        <v>415</v>
      </c>
      <c r="O44" s="30">
        <v>518</v>
      </c>
      <c r="P44" s="30">
        <v>512</v>
      </c>
      <c r="Q44" s="30">
        <v>392</v>
      </c>
      <c r="R44" s="30">
        <v>436</v>
      </c>
      <c r="S44" s="30">
        <v>473</v>
      </c>
      <c r="T44" s="30">
        <v>450</v>
      </c>
      <c r="U44" s="30">
        <v>426</v>
      </c>
      <c r="V44" s="30">
        <v>404</v>
      </c>
      <c r="W44" s="30">
        <v>410</v>
      </c>
      <c r="X44" s="30">
        <v>374</v>
      </c>
      <c r="Y44" s="30">
        <v>359</v>
      </c>
      <c r="Z44" s="30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  <c r="AZ44" s="7">
        <v>270</v>
      </c>
      <c r="BA44" s="7">
        <v>339</v>
      </c>
      <c r="BB44" s="7">
        <v>367</v>
      </c>
      <c r="BC44" s="7">
        <v>471</v>
      </c>
    </row>
    <row r="45" spans="1:55" ht="15" customHeight="1" outlineLevel="1" x14ac:dyDescent="0.2">
      <c r="A45" s="64"/>
      <c r="B45" s="22" t="s">
        <v>74</v>
      </c>
      <c r="C45" s="23">
        <f t="shared" ref="C45:AW45" si="12">C49+C52+C54</f>
        <v>327</v>
      </c>
      <c r="D45" s="23">
        <f t="shared" si="12"/>
        <v>190</v>
      </c>
      <c r="E45" s="23">
        <f t="shared" si="12"/>
        <v>231</v>
      </c>
      <c r="F45" s="23">
        <f t="shared" si="12"/>
        <v>130</v>
      </c>
      <c r="G45" s="23">
        <f t="shared" si="12"/>
        <v>404</v>
      </c>
      <c r="H45" s="23">
        <f t="shared" si="12"/>
        <v>345</v>
      </c>
      <c r="I45" s="23">
        <f t="shared" si="12"/>
        <v>363</v>
      </c>
      <c r="J45" s="23">
        <f t="shared" si="12"/>
        <v>311</v>
      </c>
      <c r="K45" s="23">
        <f t="shared" si="12"/>
        <v>404</v>
      </c>
      <c r="L45" s="23">
        <f t="shared" si="12"/>
        <v>370</v>
      </c>
      <c r="M45" s="23">
        <f t="shared" si="12"/>
        <v>341</v>
      </c>
      <c r="N45" s="23">
        <f t="shared" si="12"/>
        <v>379</v>
      </c>
      <c r="O45" s="23">
        <f t="shared" si="12"/>
        <v>357</v>
      </c>
      <c r="P45" s="23">
        <f t="shared" si="12"/>
        <v>309</v>
      </c>
      <c r="Q45" s="23">
        <f t="shared" si="12"/>
        <v>301</v>
      </c>
      <c r="R45" s="23">
        <f t="shared" si="12"/>
        <v>414</v>
      </c>
      <c r="S45" s="23">
        <f t="shared" si="12"/>
        <v>371</v>
      </c>
      <c r="T45" s="23">
        <f t="shared" si="12"/>
        <v>337</v>
      </c>
      <c r="U45" s="23">
        <f t="shared" si="12"/>
        <v>351</v>
      </c>
      <c r="V45" s="23">
        <f t="shared" si="12"/>
        <v>370</v>
      </c>
      <c r="W45" s="23">
        <f t="shared" si="12"/>
        <v>388</v>
      </c>
      <c r="X45" s="23">
        <f t="shared" si="12"/>
        <v>300</v>
      </c>
      <c r="Y45" s="23">
        <f t="shared" si="12"/>
        <v>401</v>
      </c>
      <c r="Z45" s="23">
        <f t="shared" si="12"/>
        <v>384</v>
      </c>
      <c r="AA45" s="23">
        <f t="shared" si="12"/>
        <v>337</v>
      </c>
      <c r="AB45" s="23">
        <f t="shared" si="12"/>
        <v>366</v>
      </c>
      <c r="AC45" s="23">
        <f t="shared" si="12"/>
        <v>352</v>
      </c>
      <c r="AD45" s="23">
        <f t="shared" si="12"/>
        <v>343</v>
      </c>
      <c r="AE45" s="23">
        <f t="shared" si="12"/>
        <v>348</v>
      </c>
      <c r="AF45" s="23">
        <f t="shared" si="12"/>
        <v>330</v>
      </c>
      <c r="AG45" s="23">
        <f t="shared" si="12"/>
        <v>376</v>
      </c>
      <c r="AH45" s="23">
        <f t="shared" si="12"/>
        <v>353</v>
      </c>
      <c r="AI45" s="23">
        <f t="shared" si="12"/>
        <v>239</v>
      </c>
      <c r="AJ45" s="23">
        <f t="shared" si="12"/>
        <v>329</v>
      </c>
      <c r="AK45" s="23">
        <f t="shared" si="12"/>
        <v>432</v>
      </c>
      <c r="AL45" s="23">
        <f t="shared" si="12"/>
        <v>358</v>
      </c>
      <c r="AM45" s="23">
        <f t="shared" si="12"/>
        <v>383</v>
      </c>
      <c r="AN45" s="23">
        <f t="shared" si="12"/>
        <v>399</v>
      </c>
      <c r="AO45" s="23">
        <f t="shared" si="12"/>
        <v>435</v>
      </c>
      <c r="AP45" s="23">
        <f t="shared" si="12"/>
        <v>448</v>
      </c>
      <c r="AQ45" s="23">
        <f t="shared" si="12"/>
        <v>420</v>
      </c>
      <c r="AR45" s="23">
        <f t="shared" si="12"/>
        <v>310</v>
      </c>
      <c r="AS45" s="23">
        <f t="shared" si="12"/>
        <v>430</v>
      </c>
      <c r="AT45" s="23">
        <f t="shared" si="12"/>
        <v>467</v>
      </c>
      <c r="AU45" s="23">
        <f t="shared" si="12"/>
        <v>441</v>
      </c>
      <c r="AV45" s="23">
        <f t="shared" si="12"/>
        <v>339</v>
      </c>
      <c r="AW45" s="23">
        <f t="shared" si="12"/>
        <v>478</v>
      </c>
      <c r="AX45" s="23">
        <f>AX49+AX52+AX54</f>
        <v>428</v>
      </c>
      <c r="AY45" s="23">
        <f>AY49+AY52+AY54</f>
        <v>383</v>
      </c>
      <c r="AZ45" s="23">
        <f>AZ49+AZ52+AZ54</f>
        <v>493</v>
      </c>
      <c r="BA45" s="23">
        <f>BA49+BA52+BA54</f>
        <v>467</v>
      </c>
      <c r="BB45" s="23">
        <f>BB49+BB52+BB54</f>
        <v>403</v>
      </c>
      <c r="BC45" s="23">
        <f t="shared" ref="BC45" si="13">BC49+BC52+BC54</f>
        <v>192</v>
      </c>
    </row>
    <row r="46" spans="1:55" ht="15" customHeight="1" outlineLevel="1" x14ac:dyDescent="0.2">
      <c r="A46" s="64"/>
      <c r="B46" s="58" t="s">
        <v>0</v>
      </c>
      <c r="C46" s="60">
        <v>71</v>
      </c>
      <c r="D46" s="60">
        <v>78</v>
      </c>
      <c r="E46" s="60">
        <v>111</v>
      </c>
      <c r="F46" s="60">
        <v>11</v>
      </c>
      <c r="G46" s="60">
        <v>86</v>
      </c>
      <c r="H46" s="60">
        <v>102</v>
      </c>
      <c r="I46" s="60">
        <v>99</v>
      </c>
      <c r="J46" s="60">
        <v>46</v>
      </c>
      <c r="K46" s="60">
        <v>81</v>
      </c>
      <c r="L46" s="60">
        <v>111</v>
      </c>
      <c r="M46" s="60">
        <v>95</v>
      </c>
      <c r="N46" s="60">
        <v>61</v>
      </c>
      <c r="O46" s="60">
        <v>85</v>
      </c>
      <c r="P46" s="60">
        <v>102</v>
      </c>
      <c r="Q46" s="60">
        <v>85</v>
      </c>
      <c r="R46" s="60">
        <v>42</v>
      </c>
      <c r="S46" s="60">
        <v>97</v>
      </c>
      <c r="T46" s="60">
        <v>81</v>
      </c>
      <c r="U46" s="60">
        <v>55</v>
      </c>
      <c r="V46" s="60">
        <v>43</v>
      </c>
      <c r="W46" s="60">
        <v>104</v>
      </c>
      <c r="X46" s="60">
        <v>64</v>
      </c>
      <c r="Y46" s="60">
        <v>100</v>
      </c>
      <c r="Z46" s="60">
        <v>22</v>
      </c>
      <c r="AA46" s="3">
        <v>59</v>
      </c>
      <c r="AB46" s="3">
        <v>85</v>
      </c>
      <c r="AC46" s="3">
        <v>91</v>
      </c>
      <c r="AD46" s="3">
        <v>29</v>
      </c>
      <c r="AE46" s="3">
        <v>106</v>
      </c>
      <c r="AF46" s="3">
        <v>30</v>
      </c>
      <c r="AG46" s="3">
        <v>68</v>
      </c>
      <c r="AH46" s="3">
        <v>62</v>
      </c>
      <c r="AI46" s="3">
        <v>9</v>
      </c>
      <c r="AJ46" s="3">
        <v>83</v>
      </c>
      <c r="AK46" s="3">
        <v>160</v>
      </c>
      <c r="AL46" s="3">
        <v>106</v>
      </c>
      <c r="AM46" s="3">
        <v>84</v>
      </c>
      <c r="AN46" s="60">
        <v>141</v>
      </c>
      <c r="AO46" s="60">
        <v>168</v>
      </c>
      <c r="AP46" s="60">
        <v>126</v>
      </c>
      <c r="AQ46" s="60">
        <v>41</v>
      </c>
      <c r="AR46" s="60">
        <v>95</v>
      </c>
      <c r="AS46" s="60">
        <v>112</v>
      </c>
      <c r="AT46" s="60">
        <v>115</v>
      </c>
      <c r="AU46" s="60">
        <v>79</v>
      </c>
      <c r="AV46" s="60">
        <v>76</v>
      </c>
      <c r="AW46" s="60">
        <v>140</v>
      </c>
      <c r="AX46" s="60">
        <v>110</v>
      </c>
      <c r="AY46" s="60"/>
      <c r="AZ46" s="60"/>
      <c r="BA46" s="60"/>
      <c r="BB46" s="60"/>
    </row>
    <row r="47" spans="1:55" ht="15" customHeight="1" outlineLevel="1" x14ac:dyDescent="0.2">
      <c r="A47" s="64"/>
      <c r="B47" s="58" t="s">
        <v>2</v>
      </c>
      <c r="C47" s="60">
        <v>35</v>
      </c>
      <c r="D47" s="60">
        <v>36</v>
      </c>
      <c r="E47" s="60">
        <v>50</v>
      </c>
      <c r="F47" s="60">
        <v>3</v>
      </c>
      <c r="G47" s="60">
        <v>30</v>
      </c>
      <c r="H47" s="60">
        <v>49</v>
      </c>
      <c r="I47" s="60">
        <v>62</v>
      </c>
      <c r="J47" s="60">
        <v>62</v>
      </c>
      <c r="K47" s="60">
        <v>16</v>
      </c>
      <c r="L47" s="60">
        <v>54</v>
      </c>
      <c r="M47" s="60">
        <v>69</v>
      </c>
      <c r="N47" s="60">
        <v>97</v>
      </c>
      <c r="O47" s="60">
        <v>27</v>
      </c>
      <c r="P47" s="60">
        <v>60</v>
      </c>
      <c r="Q47" s="60">
        <v>76</v>
      </c>
      <c r="R47" s="60">
        <v>110</v>
      </c>
      <c r="S47" s="60">
        <v>33</v>
      </c>
      <c r="T47" s="60">
        <v>78</v>
      </c>
      <c r="U47" s="60">
        <v>97</v>
      </c>
      <c r="V47" s="60">
        <v>99</v>
      </c>
      <c r="W47" s="60">
        <v>33</v>
      </c>
      <c r="X47" s="60">
        <v>100</v>
      </c>
      <c r="Y47" s="60">
        <v>62</v>
      </c>
      <c r="Z47" s="60">
        <v>113</v>
      </c>
      <c r="AA47" s="3">
        <v>39</v>
      </c>
      <c r="AB47" s="3">
        <v>76</v>
      </c>
      <c r="AC47" s="3">
        <v>67</v>
      </c>
      <c r="AD47" s="3">
        <v>113</v>
      </c>
      <c r="AE47" s="3">
        <v>24</v>
      </c>
      <c r="AF47" s="3">
        <v>119</v>
      </c>
      <c r="AG47" s="3">
        <v>92</v>
      </c>
      <c r="AH47" s="3">
        <v>90</v>
      </c>
      <c r="AI47" s="3">
        <v>0</v>
      </c>
      <c r="AJ47" s="3">
        <v>20</v>
      </c>
      <c r="AK47" s="3">
        <v>7</v>
      </c>
      <c r="AL47" s="3">
        <v>0</v>
      </c>
      <c r="AM47" s="3">
        <v>53</v>
      </c>
      <c r="AN47" s="60">
        <v>25</v>
      </c>
      <c r="AO47" s="60">
        <v>7</v>
      </c>
      <c r="AP47" s="60">
        <v>35</v>
      </c>
      <c r="AQ47" s="60">
        <v>94</v>
      </c>
      <c r="AR47" s="60">
        <v>32</v>
      </c>
      <c r="AS47" s="60">
        <v>45</v>
      </c>
      <c r="AT47" s="60">
        <v>47</v>
      </c>
      <c r="AU47" s="60">
        <v>66</v>
      </c>
      <c r="AV47" s="60">
        <v>49</v>
      </c>
      <c r="AW47" s="60">
        <v>31</v>
      </c>
      <c r="AX47" s="60">
        <v>49</v>
      </c>
      <c r="AY47" s="60"/>
      <c r="AZ47" s="60"/>
      <c r="BA47" s="60"/>
      <c r="BB47" s="60"/>
    </row>
    <row r="48" spans="1:55" ht="15" customHeight="1" outlineLevel="1" x14ac:dyDescent="0.2">
      <c r="A48" s="64"/>
      <c r="B48" s="58" t="s">
        <v>75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8</v>
      </c>
      <c r="AM48" s="3">
        <v>0</v>
      </c>
      <c r="AN48" s="3">
        <v>6</v>
      </c>
      <c r="AO48" s="3">
        <v>0</v>
      </c>
      <c r="AP48" s="3">
        <v>6</v>
      </c>
      <c r="AQ48" s="3">
        <v>0</v>
      </c>
      <c r="AR48" s="3">
        <v>3</v>
      </c>
      <c r="AS48" s="3">
        <v>4</v>
      </c>
      <c r="AT48" s="3">
        <v>4</v>
      </c>
      <c r="AU48" s="3">
        <v>0</v>
      </c>
      <c r="AV48" s="60">
        <v>2</v>
      </c>
      <c r="AW48" s="60">
        <v>11</v>
      </c>
      <c r="AX48" s="60">
        <v>2</v>
      </c>
      <c r="AY48" s="60"/>
      <c r="AZ48" s="60"/>
      <c r="BA48" s="60"/>
      <c r="BB48" s="60"/>
    </row>
    <row r="49" spans="1:55" ht="15" customHeight="1" outlineLevel="1" x14ac:dyDescent="0.2">
      <c r="A49" s="64"/>
      <c r="B49" s="114" t="s">
        <v>223</v>
      </c>
      <c r="C49" s="117">
        <f t="shared" ref="C49:AW49" si="14">SUM(C46:C48)</f>
        <v>106</v>
      </c>
      <c r="D49" s="117">
        <f t="shared" si="14"/>
        <v>114</v>
      </c>
      <c r="E49" s="117">
        <f t="shared" si="14"/>
        <v>161</v>
      </c>
      <c r="F49" s="117">
        <f t="shared" si="14"/>
        <v>14</v>
      </c>
      <c r="G49" s="117">
        <f t="shared" si="14"/>
        <v>116</v>
      </c>
      <c r="H49" s="117">
        <f t="shared" si="14"/>
        <v>151</v>
      </c>
      <c r="I49" s="117">
        <f t="shared" si="14"/>
        <v>161</v>
      </c>
      <c r="J49" s="117">
        <f t="shared" si="14"/>
        <v>108</v>
      </c>
      <c r="K49" s="117">
        <f t="shared" si="14"/>
        <v>97</v>
      </c>
      <c r="L49" s="117">
        <f t="shared" si="14"/>
        <v>165</v>
      </c>
      <c r="M49" s="117">
        <f t="shared" si="14"/>
        <v>164</v>
      </c>
      <c r="N49" s="117">
        <f t="shared" si="14"/>
        <v>158</v>
      </c>
      <c r="O49" s="117">
        <f t="shared" si="14"/>
        <v>112</v>
      </c>
      <c r="P49" s="117">
        <f t="shared" si="14"/>
        <v>162</v>
      </c>
      <c r="Q49" s="117">
        <f t="shared" si="14"/>
        <v>161</v>
      </c>
      <c r="R49" s="117">
        <f t="shared" si="14"/>
        <v>152</v>
      </c>
      <c r="S49" s="117">
        <f t="shared" si="14"/>
        <v>130</v>
      </c>
      <c r="T49" s="117">
        <f t="shared" si="14"/>
        <v>159</v>
      </c>
      <c r="U49" s="117">
        <f t="shared" si="14"/>
        <v>152</v>
      </c>
      <c r="V49" s="117">
        <f t="shared" si="14"/>
        <v>142</v>
      </c>
      <c r="W49" s="117">
        <f t="shared" si="14"/>
        <v>137</v>
      </c>
      <c r="X49" s="117">
        <f t="shared" si="14"/>
        <v>164</v>
      </c>
      <c r="Y49" s="117">
        <f t="shared" si="14"/>
        <v>162</v>
      </c>
      <c r="Z49" s="117">
        <f t="shared" si="14"/>
        <v>135</v>
      </c>
      <c r="AA49" s="117">
        <f t="shared" si="14"/>
        <v>98</v>
      </c>
      <c r="AB49" s="117">
        <f t="shared" si="14"/>
        <v>161</v>
      </c>
      <c r="AC49" s="117">
        <f t="shared" si="14"/>
        <v>158</v>
      </c>
      <c r="AD49" s="117">
        <f t="shared" si="14"/>
        <v>142</v>
      </c>
      <c r="AE49" s="117">
        <f t="shared" si="14"/>
        <v>130</v>
      </c>
      <c r="AF49" s="117">
        <f t="shared" si="14"/>
        <v>149</v>
      </c>
      <c r="AG49" s="117">
        <f t="shared" si="14"/>
        <v>160</v>
      </c>
      <c r="AH49" s="117">
        <f t="shared" si="14"/>
        <v>152</v>
      </c>
      <c r="AI49" s="117">
        <f t="shared" si="14"/>
        <v>9</v>
      </c>
      <c r="AJ49" s="117">
        <f t="shared" si="14"/>
        <v>103</v>
      </c>
      <c r="AK49" s="117">
        <f t="shared" si="14"/>
        <v>167</v>
      </c>
      <c r="AL49" s="117">
        <f t="shared" si="14"/>
        <v>114</v>
      </c>
      <c r="AM49" s="117">
        <f t="shared" si="14"/>
        <v>137</v>
      </c>
      <c r="AN49" s="117">
        <f t="shared" si="14"/>
        <v>172</v>
      </c>
      <c r="AO49" s="117">
        <f t="shared" si="14"/>
        <v>175</v>
      </c>
      <c r="AP49" s="117">
        <f t="shared" si="14"/>
        <v>167</v>
      </c>
      <c r="AQ49" s="117">
        <f t="shared" si="14"/>
        <v>135</v>
      </c>
      <c r="AR49" s="117">
        <f t="shared" si="14"/>
        <v>130</v>
      </c>
      <c r="AS49" s="117">
        <f t="shared" si="14"/>
        <v>161</v>
      </c>
      <c r="AT49" s="117">
        <f t="shared" si="14"/>
        <v>166</v>
      </c>
      <c r="AU49" s="117">
        <f t="shared" si="14"/>
        <v>145</v>
      </c>
      <c r="AV49" s="117">
        <f t="shared" si="14"/>
        <v>127</v>
      </c>
      <c r="AW49" s="117">
        <f t="shared" si="14"/>
        <v>182</v>
      </c>
      <c r="AX49" s="117">
        <f>SUM(AX46:AX48)</f>
        <v>161</v>
      </c>
      <c r="AY49" s="117">
        <v>105</v>
      </c>
      <c r="AZ49" s="117">
        <v>172</v>
      </c>
      <c r="BA49" s="117">
        <v>175</v>
      </c>
      <c r="BB49" s="117">
        <v>169</v>
      </c>
      <c r="BC49" s="117">
        <v>115</v>
      </c>
    </row>
    <row r="50" spans="1:55" ht="15" customHeight="1" outlineLevel="1" x14ac:dyDescent="0.2">
      <c r="A50" s="64"/>
      <c r="B50" s="58" t="s">
        <v>5</v>
      </c>
      <c r="C50" s="60">
        <v>16</v>
      </c>
      <c r="D50" s="60">
        <v>5</v>
      </c>
      <c r="E50" s="60">
        <v>11</v>
      </c>
      <c r="F50" s="60">
        <v>29</v>
      </c>
      <c r="G50" s="60">
        <v>93</v>
      </c>
      <c r="H50" s="60">
        <v>58</v>
      </c>
      <c r="I50" s="60">
        <v>47</v>
      </c>
      <c r="J50" s="60">
        <v>54</v>
      </c>
      <c r="K50" s="60">
        <v>88</v>
      </c>
      <c r="L50" s="60">
        <v>41</v>
      </c>
      <c r="M50" s="60">
        <v>25</v>
      </c>
      <c r="N50" s="60">
        <v>49</v>
      </c>
      <c r="O50" s="60">
        <v>56</v>
      </c>
      <c r="P50" s="60">
        <v>17</v>
      </c>
      <c r="Q50" s="60">
        <v>27</v>
      </c>
      <c r="R50" s="60">
        <v>51</v>
      </c>
      <c r="S50" s="60">
        <v>48</v>
      </c>
      <c r="T50" s="60">
        <v>30</v>
      </c>
      <c r="U50" s="60">
        <v>24</v>
      </c>
      <c r="V50" s="60">
        <v>42</v>
      </c>
      <c r="W50" s="60">
        <v>65</v>
      </c>
      <c r="X50" s="60">
        <v>27</v>
      </c>
      <c r="Y50" s="60">
        <v>24</v>
      </c>
      <c r="Z50" s="60">
        <v>47</v>
      </c>
      <c r="AA50" s="3">
        <v>68</v>
      </c>
      <c r="AB50" s="3">
        <v>18</v>
      </c>
      <c r="AC50" s="3">
        <v>16</v>
      </c>
      <c r="AD50" s="3">
        <v>41</v>
      </c>
      <c r="AE50" s="3">
        <v>30</v>
      </c>
      <c r="AF50" s="3">
        <v>28</v>
      </c>
      <c r="AG50" s="3">
        <v>23</v>
      </c>
      <c r="AH50" s="3">
        <v>33</v>
      </c>
      <c r="AI50" s="3">
        <v>59</v>
      </c>
      <c r="AJ50" s="3">
        <v>43</v>
      </c>
      <c r="AK50" s="3">
        <v>32</v>
      </c>
      <c r="AL50" s="3">
        <v>53</v>
      </c>
      <c r="AM50" s="3">
        <v>77</v>
      </c>
      <c r="AN50" s="60">
        <v>46</v>
      </c>
      <c r="AO50" s="60">
        <v>22</v>
      </c>
      <c r="AP50" s="60">
        <v>60</v>
      </c>
      <c r="AQ50" s="60">
        <v>89</v>
      </c>
      <c r="AR50" s="60">
        <v>60</v>
      </c>
      <c r="AS50" s="60">
        <v>27</v>
      </c>
      <c r="AT50" s="60">
        <v>77</v>
      </c>
      <c r="AU50" s="60">
        <v>65</v>
      </c>
      <c r="AV50" s="60">
        <v>41</v>
      </c>
      <c r="AW50" s="60">
        <v>44</v>
      </c>
      <c r="AX50" s="60">
        <v>79</v>
      </c>
      <c r="AY50" s="60"/>
      <c r="AZ50" s="60"/>
      <c r="BA50" s="60"/>
      <c r="BB50" s="60"/>
      <c r="BC50" s="60"/>
    </row>
    <row r="51" spans="1:55" ht="15" customHeight="1" outlineLevel="1" x14ac:dyDescent="0.2">
      <c r="A51" s="64"/>
      <c r="B51" s="58" t="s">
        <v>225</v>
      </c>
      <c r="C51" s="60">
        <v>205</v>
      </c>
      <c r="D51" s="60">
        <v>71</v>
      </c>
      <c r="E51" s="60">
        <v>59</v>
      </c>
      <c r="F51" s="60">
        <v>87</v>
      </c>
      <c r="G51" s="60">
        <v>195</v>
      </c>
      <c r="H51" s="60">
        <v>136</v>
      </c>
      <c r="I51" s="60">
        <v>155</v>
      </c>
      <c r="J51" s="60">
        <v>149</v>
      </c>
      <c r="K51" s="60">
        <v>219</v>
      </c>
      <c r="L51" s="60">
        <v>164</v>
      </c>
      <c r="M51" s="60">
        <v>152</v>
      </c>
      <c r="N51" s="60">
        <v>172</v>
      </c>
      <c r="O51" s="60">
        <v>189</v>
      </c>
      <c r="P51" s="60">
        <v>130</v>
      </c>
      <c r="Q51" s="60">
        <v>113</v>
      </c>
      <c r="R51" s="60">
        <v>211</v>
      </c>
      <c r="S51" s="60">
        <v>193</v>
      </c>
      <c r="T51" s="60">
        <v>148</v>
      </c>
      <c r="U51" s="60">
        <v>175</v>
      </c>
      <c r="V51" s="60">
        <v>186</v>
      </c>
      <c r="W51" s="60">
        <v>186</v>
      </c>
      <c r="X51" s="60">
        <v>109</v>
      </c>
      <c r="Y51" s="60">
        <v>215</v>
      </c>
      <c r="Z51" s="60">
        <v>202</v>
      </c>
      <c r="AA51" s="3">
        <v>171</v>
      </c>
      <c r="AB51" s="3">
        <v>187</v>
      </c>
      <c r="AC51" s="3">
        <v>178</v>
      </c>
      <c r="AD51" s="3">
        <v>160</v>
      </c>
      <c r="AE51" s="3">
        <v>188</v>
      </c>
      <c r="AF51" s="3">
        <v>153</v>
      </c>
      <c r="AG51" s="3">
        <v>193</v>
      </c>
      <c r="AH51" s="3">
        <v>168</v>
      </c>
      <c r="AI51" s="3">
        <v>171</v>
      </c>
      <c r="AJ51" s="3">
        <v>183</v>
      </c>
      <c r="AK51" s="3">
        <v>233</v>
      </c>
      <c r="AL51" s="3">
        <v>191</v>
      </c>
      <c r="AM51" s="3">
        <v>169</v>
      </c>
      <c r="AN51" s="60">
        <v>181</v>
      </c>
      <c r="AO51" s="60">
        <v>231</v>
      </c>
      <c r="AP51" s="60">
        <v>218</v>
      </c>
      <c r="AQ51" s="72">
        <v>194</v>
      </c>
      <c r="AR51" s="72">
        <v>118</v>
      </c>
      <c r="AS51" s="72">
        <v>240</v>
      </c>
      <c r="AT51" s="72">
        <v>221</v>
      </c>
      <c r="AU51" s="72">
        <v>225</v>
      </c>
      <c r="AV51" s="60">
        <v>163</v>
      </c>
      <c r="AW51" s="60">
        <v>239</v>
      </c>
      <c r="AX51" s="60">
        <v>188</v>
      </c>
      <c r="AY51" s="60"/>
      <c r="AZ51" s="60"/>
      <c r="BA51" s="60"/>
      <c r="BB51" s="60"/>
      <c r="BC51" s="60"/>
    </row>
    <row r="52" spans="1:55" ht="15" customHeight="1" outlineLevel="1" x14ac:dyDescent="0.2">
      <c r="A52" s="64"/>
      <c r="B52" s="115" t="s">
        <v>224</v>
      </c>
      <c r="C52" s="117">
        <f t="shared" ref="C52:AW52" si="15">SUM(C50:C51)</f>
        <v>221</v>
      </c>
      <c r="D52" s="117">
        <f t="shared" si="15"/>
        <v>76</v>
      </c>
      <c r="E52" s="117">
        <f t="shared" si="15"/>
        <v>70</v>
      </c>
      <c r="F52" s="117">
        <f t="shared" si="15"/>
        <v>116</v>
      </c>
      <c r="G52" s="117">
        <f t="shared" si="15"/>
        <v>288</v>
      </c>
      <c r="H52" s="117">
        <f t="shared" si="15"/>
        <v>194</v>
      </c>
      <c r="I52" s="117">
        <f t="shared" si="15"/>
        <v>202</v>
      </c>
      <c r="J52" s="117">
        <f t="shared" si="15"/>
        <v>203</v>
      </c>
      <c r="K52" s="117">
        <f t="shared" si="15"/>
        <v>307</v>
      </c>
      <c r="L52" s="117">
        <f t="shared" si="15"/>
        <v>205</v>
      </c>
      <c r="M52" s="117">
        <f t="shared" si="15"/>
        <v>177</v>
      </c>
      <c r="N52" s="117">
        <f t="shared" si="15"/>
        <v>221</v>
      </c>
      <c r="O52" s="117">
        <f t="shared" si="15"/>
        <v>245</v>
      </c>
      <c r="P52" s="117">
        <f t="shared" si="15"/>
        <v>147</v>
      </c>
      <c r="Q52" s="117">
        <f t="shared" si="15"/>
        <v>140</v>
      </c>
      <c r="R52" s="117">
        <f t="shared" si="15"/>
        <v>262</v>
      </c>
      <c r="S52" s="117">
        <f t="shared" si="15"/>
        <v>241</v>
      </c>
      <c r="T52" s="117">
        <f t="shared" si="15"/>
        <v>178</v>
      </c>
      <c r="U52" s="117">
        <f t="shared" si="15"/>
        <v>199</v>
      </c>
      <c r="V52" s="117">
        <f t="shared" si="15"/>
        <v>228</v>
      </c>
      <c r="W52" s="117">
        <f t="shared" si="15"/>
        <v>251</v>
      </c>
      <c r="X52" s="117">
        <f t="shared" si="15"/>
        <v>136</v>
      </c>
      <c r="Y52" s="117">
        <f t="shared" si="15"/>
        <v>239</v>
      </c>
      <c r="Z52" s="117">
        <f t="shared" si="15"/>
        <v>249</v>
      </c>
      <c r="AA52" s="117">
        <f t="shared" si="15"/>
        <v>239</v>
      </c>
      <c r="AB52" s="117">
        <f t="shared" si="15"/>
        <v>205</v>
      </c>
      <c r="AC52" s="117">
        <f t="shared" si="15"/>
        <v>194</v>
      </c>
      <c r="AD52" s="117">
        <f t="shared" si="15"/>
        <v>201</v>
      </c>
      <c r="AE52" s="117">
        <f t="shared" si="15"/>
        <v>218</v>
      </c>
      <c r="AF52" s="117">
        <f t="shared" si="15"/>
        <v>181</v>
      </c>
      <c r="AG52" s="117">
        <f t="shared" si="15"/>
        <v>216</v>
      </c>
      <c r="AH52" s="117">
        <f t="shared" si="15"/>
        <v>201</v>
      </c>
      <c r="AI52" s="117">
        <f t="shared" si="15"/>
        <v>230</v>
      </c>
      <c r="AJ52" s="117">
        <f t="shared" si="15"/>
        <v>226</v>
      </c>
      <c r="AK52" s="117">
        <f t="shared" si="15"/>
        <v>265</v>
      </c>
      <c r="AL52" s="117">
        <f t="shared" si="15"/>
        <v>244</v>
      </c>
      <c r="AM52" s="117">
        <f t="shared" si="15"/>
        <v>246</v>
      </c>
      <c r="AN52" s="117">
        <f t="shared" si="15"/>
        <v>227</v>
      </c>
      <c r="AO52" s="117">
        <f t="shared" si="15"/>
        <v>253</v>
      </c>
      <c r="AP52" s="117">
        <f t="shared" si="15"/>
        <v>278</v>
      </c>
      <c r="AQ52" s="117">
        <f t="shared" si="15"/>
        <v>283</v>
      </c>
      <c r="AR52" s="117">
        <f t="shared" si="15"/>
        <v>178</v>
      </c>
      <c r="AS52" s="117">
        <f t="shared" si="15"/>
        <v>267</v>
      </c>
      <c r="AT52" s="117">
        <f t="shared" si="15"/>
        <v>298</v>
      </c>
      <c r="AU52" s="117">
        <f t="shared" si="15"/>
        <v>290</v>
      </c>
      <c r="AV52" s="117">
        <f t="shared" si="15"/>
        <v>204</v>
      </c>
      <c r="AW52" s="117">
        <f t="shared" si="15"/>
        <v>283</v>
      </c>
      <c r="AX52" s="117">
        <f>SUM(AX50:AX51)</f>
        <v>267</v>
      </c>
      <c r="AY52" s="117">
        <v>266</v>
      </c>
      <c r="AZ52" s="117">
        <v>308</v>
      </c>
      <c r="BA52" s="117">
        <v>268</v>
      </c>
      <c r="BB52" s="117">
        <v>214</v>
      </c>
      <c r="BC52" s="117">
        <v>77</v>
      </c>
    </row>
    <row r="53" spans="1:55" ht="15" customHeight="1" outlineLevel="1" x14ac:dyDescent="0.2">
      <c r="A53" s="64"/>
      <c r="B53" s="58" t="s">
        <v>191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7</v>
      </c>
      <c r="AP53" s="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0">
        <v>8</v>
      </c>
      <c r="AW53" s="60">
        <v>13</v>
      </c>
      <c r="AX53" s="60">
        <v>0</v>
      </c>
      <c r="AY53" s="60"/>
      <c r="AZ53" s="60"/>
      <c r="BA53" s="60"/>
      <c r="BB53" s="60"/>
    </row>
    <row r="54" spans="1:55" ht="15" customHeight="1" outlineLevel="1" x14ac:dyDescent="0.2">
      <c r="A54" s="64"/>
      <c r="B54" s="116" t="s">
        <v>148</v>
      </c>
      <c r="C54" s="117">
        <f t="shared" ref="C54:AW54" si="16">SUM(C53)</f>
        <v>0</v>
      </c>
      <c r="D54" s="117">
        <f t="shared" si="16"/>
        <v>0</v>
      </c>
      <c r="E54" s="117">
        <f t="shared" si="16"/>
        <v>0</v>
      </c>
      <c r="F54" s="117">
        <f t="shared" si="16"/>
        <v>0</v>
      </c>
      <c r="G54" s="117">
        <f t="shared" si="16"/>
        <v>0</v>
      </c>
      <c r="H54" s="117">
        <f t="shared" si="16"/>
        <v>0</v>
      </c>
      <c r="I54" s="117">
        <f t="shared" si="16"/>
        <v>0</v>
      </c>
      <c r="J54" s="117">
        <f t="shared" si="16"/>
        <v>0</v>
      </c>
      <c r="K54" s="117">
        <f t="shared" si="16"/>
        <v>0</v>
      </c>
      <c r="L54" s="117">
        <f t="shared" si="16"/>
        <v>0</v>
      </c>
      <c r="M54" s="117">
        <f t="shared" si="16"/>
        <v>0</v>
      </c>
      <c r="N54" s="117">
        <f t="shared" si="16"/>
        <v>0</v>
      </c>
      <c r="O54" s="117">
        <f t="shared" si="16"/>
        <v>0</v>
      </c>
      <c r="P54" s="117">
        <f t="shared" si="16"/>
        <v>0</v>
      </c>
      <c r="Q54" s="117">
        <f t="shared" si="16"/>
        <v>0</v>
      </c>
      <c r="R54" s="117">
        <f t="shared" si="16"/>
        <v>0</v>
      </c>
      <c r="S54" s="117">
        <f t="shared" si="16"/>
        <v>0</v>
      </c>
      <c r="T54" s="117">
        <f t="shared" si="16"/>
        <v>0</v>
      </c>
      <c r="U54" s="117">
        <f t="shared" si="16"/>
        <v>0</v>
      </c>
      <c r="V54" s="117">
        <f t="shared" si="16"/>
        <v>0</v>
      </c>
      <c r="W54" s="117">
        <f t="shared" si="16"/>
        <v>0</v>
      </c>
      <c r="X54" s="117">
        <f t="shared" si="16"/>
        <v>0</v>
      </c>
      <c r="Y54" s="117">
        <f t="shared" si="16"/>
        <v>0</v>
      </c>
      <c r="Z54" s="117">
        <f t="shared" si="16"/>
        <v>0</v>
      </c>
      <c r="AA54" s="117">
        <f t="shared" si="16"/>
        <v>0</v>
      </c>
      <c r="AB54" s="117">
        <f t="shared" si="16"/>
        <v>0</v>
      </c>
      <c r="AC54" s="117">
        <f t="shared" si="16"/>
        <v>0</v>
      </c>
      <c r="AD54" s="117">
        <f t="shared" si="16"/>
        <v>0</v>
      </c>
      <c r="AE54" s="117">
        <f t="shared" si="16"/>
        <v>0</v>
      </c>
      <c r="AF54" s="117">
        <f t="shared" si="16"/>
        <v>0</v>
      </c>
      <c r="AG54" s="117">
        <f t="shared" si="16"/>
        <v>0</v>
      </c>
      <c r="AH54" s="117">
        <f t="shared" si="16"/>
        <v>0</v>
      </c>
      <c r="AI54" s="117">
        <f t="shared" si="16"/>
        <v>0</v>
      </c>
      <c r="AJ54" s="117">
        <f t="shared" si="16"/>
        <v>0</v>
      </c>
      <c r="AK54" s="117">
        <f t="shared" si="16"/>
        <v>0</v>
      </c>
      <c r="AL54" s="117">
        <f t="shared" si="16"/>
        <v>0</v>
      </c>
      <c r="AM54" s="117">
        <f t="shared" si="16"/>
        <v>0</v>
      </c>
      <c r="AN54" s="117">
        <f t="shared" si="16"/>
        <v>0</v>
      </c>
      <c r="AO54" s="117">
        <f t="shared" si="16"/>
        <v>7</v>
      </c>
      <c r="AP54" s="117">
        <f t="shared" si="16"/>
        <v>3</v>
      </c>
      <c r="AQ54" s="117">
        <f t="shared" si="16"/>
        <v>2</v>
      </c>
      <c r="AR54" s="117">
        <f t="shared" si="16"/>
        <v>2</v>
      </c>
      <c r="AS54" s="117">
        <f t="shared" si="16"/>
        <v>2</v>
      </c>
      <c r="AT54" s="117">
        <f t="shared" si="16"/>
        <v>3</v>
      </c>
      <c r="AU54" s="99">
        <f>SUM(AU53)+2</f>
        <v>6</v>
      </c>
      <c r="AV54" s="117">
        <f t="shared" si="16"/>
        <v>8</v>
      </c>
      <c r="AW54" s="117">
        <f t="shared" si="16"/>
        <v>13</v>
      </c>
      <c r="AX54" s="117">
        <f>SUM(AX53)</f>
        <v>0</v>
      </c>
      <c r="AY54" s="117">
        <v>12</v>
      </c>
      <c r="AZ54" s="117">
        <v>13</v>
      </c>
      <c r="BA54" s="117">
        <v>24</v>
      </c>
      <c r="BB54" s="117">
        <v>20</v>
      </c>
    </row>
    <row r="55" spans="1:55" ht="15" customHeight="1" outlineLevel="1" x14ac:dyDescent="0.2">
      <c r="A55" s="64"/>
      <c r="B55" s="6" t="s">
        <v>76</v>
      </c>
      <c r="C55" s="25">
        <v>0.76</v>
      </c>
      <c r="D55" s="25">
        <v>0.45</v>
      </c>
      <c r="E55" s="25">
        <v>0.55000000000000004</v>
      </c>
      <c r="F55" s="25">
        <v>0.3</v>
      </c>
      <c r="G55" s="25">
        <v>0.97</v>
      </c>
      <c r="H55" s="25">
        <v>0.84</v>
      </c>
      <c r="I55" s="25">
        <v>0.88</v>
      </c>
      <c r="J55" s="25">
        <v>0.77</v>
      </c>
      <c r="K55" s="25">
        <v>0.96</v>
      </c>
      <c r="L55" s="25">
        <v>0.9</v>
      </c>
      <c r="M55" s="25">
        <v>0.71</v>
      </c>
      <c r="N55" s="25">
        <v>0.88</v>
      </c>
      <c r="O55" s="25">
        <v>0.78</v>
      </c>
      <c r="P55" s="25">
        <v>0.69</v>
      </c>
      <c r="Q55" s="25">
        <v>0.69</v>
      </c>
      <c r="R55" s="25">
        <v>0.94</v>
      </c>
      <c r="S55" s="25">
        <v>0.81</v>
      </c>
      <c r="T55" s="25">
        <v>0.77</v>
      </c>
      <c r="U55" s="25">
        <v>0.8</v>
      </c>
      <c r="V55" s="25">
        <v>0.83</v>
      </c>
      <c r="W55" s="25">
        <v>0.86</v>
      </c>
      <c r="X55" s="25">
        <v>0.7</v>
      </c>
      <c r="Y55" s="25">
        <v>0.89</v>
      </c>
      <c r="Z55" s="25">
        <v>0.88</v>
      </c>
      <c r="AA55" s="25">
        <v>0.75</v>
      </c>
      <c r="AB55" s="25">
        <v>0.81</v>
      </c>
      <c r="AC55" s="25">
        <v>0.78</v>
      </c>
      <c r="AD55" s="25">
        <v>0.79</v>
      </c>
      <c r="AE55" s="25">
        <v>0.79</v>
      </c>
      <c r="AF55" s="25">
        <v>0.74</v>
      </c>
      <c r="AG55" s="25">
        <v>0.83</v>
      </c>
      <c r="AH55" s="25">
        <v>0.76</v>
      </c>
      <c r="AI55" s="25">
        <v>0.55000000000000004</v>
      </c>
      <c r="AJ55" s="25">
        <v>0.6</v>
      </c>
      <c r="AK55" s="25">
        <v>0.88</v>
      </c>
      <c r="AL55" s="66">
        <v>0.7</v>
      </c>
      <c r="AM55" s="66">
        <v>0.8</v>
      </c>
      <c r="AN55" s="25">
        <v>0.79</v>
      </c>
      <c r="AO55" s="25">
        <v>0.88</v>
      </c>
      <c r="AP55" s="25">
        <v>0.92</v>
      </c>
      <c r="AQ55" s="25">
        <v>0.89</v>
      </c>
      <c r="AR55" s="25">
        <v>0.65</v>
      </c>
      <c r="AS55" s="25">
        <v>0.88</v>
      </c>
      <c r="AT55" s="25">
        <v>0.95</v>
      </c>
      <c r="AU55" s="25">
        <v>0.9</v>
      </c>
      <c r="AV55" s="25">
        <v>0.7</v>
      </c>
      <c r="AW55" s="25">
        <v>0.98</v>
      </c>
      <c r="AX55" s="25">
        <v>0.85</v>
      </c>
      <c r="AY55" s="25">
        <v>0.77</v>
      </c>
      <c r="AZ55" s="25">
        <v>0.98</v>
      </c>
      <c r="BA55" s="25">
        <v>0.94</v>
      </c>
      <c r="BB55" s="25">
        <v>0.8</v>
      </c>
      <c r="BC55" s="25">
        <v>0.79</v>
      </c>
    </row>
    <row r="56" spans="1:55" ht="15" customHeight="1" outlineLevel="1" x14ac:dyDescent="0.2">
      <c r="A56" s="64"/>
      <c r="B56" s="22" t="s">
        <v>77</v>
      </c>
      <c r="C56" s="23">
        <f t="shared" ref="C56:AX56" si="17">C61+C64+C65</f>
        <v>43</v>
      </c>
      <c r="D56" s="23">
        <f t="shared" si="17"/>
        <v>60</v>
      </c>
      <c r="E56" s="23">
        <f t="shared" si="17"/>
        <v>126</v>
      </c>
      <c r="F56" s="23">
        <f t="shared" si="17"/>
        <v>134</v>
      </c>
      <c r="G56" s="23">
        <f t="shared" si="17"/>
        <v>80</v>
      </c>
      <c r="H56" s="23">
        <f t="shared" si="17"/>
        <v>223</v>
      </c>
      <c r="I56" s="23">
        <f t="shared" si="17"/>
        <v>70</v>
      </c>
      <c r="J56" s="23">
        <f t="shared" si="17"/>
        <v>48</v>
      </c>
      <c r="K56" s="23">
        <f t="shared" si="17"/>
        <v>41</v>
      </c>
      <c r="L56" s="23">
        <f t="shared" si="17"/>
        <v>78</v>
      </c>
      <c r="M56" s="23">
        <f t="shared" si="17"/>
        <v>58</v>
      </c>
      <c r="N56" s="23">
        <f t="shared" si="17"/>
        <v>66</v>
      </c>
      <c r="O56" s="23">
        <f t="shared" si="17"/>
        <v>27</v>
      </c>
      <c r="P56" s="23">
        <f t="shared" si="17"/>
        <v>68</v>
      </c>
      <c r="Q56" s="23">
        <f t="shared" si="17"/>
        <v>67</v>
      </c>
      <c r="R56" s="23">
        <f t="shared" si="17"/>
        <v>56</v>
      </c>
      <c r="S56" s="23">
        <f t="shared" si="17"/>
        <v>9</v>
      </c>
      <c r="T56" s="23">
        <f t="shared" si="17"/>
        <v>41</v>
      </c>
      <c r="U56" s="23">
        <f t="shared" si="17"/>
        <v>33</v>
      </c>
      <c r="V56" s="23">
        <f t="shared" si="17"/>
        <v>76</v>
      </c>
      <c r="W56" s="23">
        <f t="shared" si="17"/>
        <v>20</v>
      </c>
      <c r="X56" s="23">
        <f t="shared" si="17"/>
        <v>59</v>
      </c>
      <c r="Y56" s="23">
        <f t="shared" si="17"/>
        <v>64</v>
      </c>
      <c r="Z56" s="23">
        <f t="shared" si="17"/>
        <v>83</v>
      </c>
      <c r="AA56" s="23">
        <f t="shared" si="17"/>
        <v>15</v>
      </c>
      <c r="AB56" s="23">
        <f t="shared" si="17"/>
        <v>198</v>
      </c>
      <c r="AC56" s="23">
        <f t="shared" si="17"/>
        <v>75</v>
      </c>
      <c r="AD56" s="23">
        <f t="shared" si="17"/>
        <v>65</v>
      </c>
      <c r="AE56" s="23">
        <f t="shared" si="17"/>
        <v>36</v>
      </c>
      <c r="AF56" s="23">
        <f t="shared" si="17"/>
        <v>56</v>
      </c>
      <c r="AG56" s="23">
        <f t="shared" si="17"/>
        <v>101</v>
      </c>
      <c r="AH56" s="23">
        <f t="shared" si="17"/>
        <v>64</v>
      </c>
      <c r="AI56" s="23">
        <f t="shared" si="17"/>
        <v>100</v>
      </c>
      <c r="AJ56" s="23">
        <f t="shared" si="17"/>
        <v>120</v>
      </c>
      <c r="AK56" s="23">
        <f t="shared" si="17"/>
        <v>201</v>
      </c>
      <c r="AL56" s="23">
        <f t="shared" si="17"/>
        <v>156</v>
      </c>
      <c r="AM56" s="23">
        <f t="shared" si="17"/>
        <v>97</v>
      </c>
      <c r="AN56" s="23">
        <f t="shared" si="17"/>
        <v>104</v>
      </c>
      <c r="AO56" s="23">
        <f t="shared" si="17"/>
        <v>218</v>
      </c>
      <c r="AP56" s="23">
        <f t="shared" si="17"/>
        <v>99</v>
      </c>
      <c r="AQ56" s="23">
        <f t="shared" si="17"/>
        <v>60</v>
      </c>
      <c r="AR56" s="23">
        <f t="shared" si="17"/>
        <v>62</v>
      </c>
      <c r="AS56" s="23">
        <f t="shared" si="17"/>
        <v>156</v>
      </c>
      <c r="AT56" s="23">
        <f t="shared" si="17"/>
        <v>137</v>
      </c>
      <c r="AU56" s="23">
        <f t="shared" si="17"/>
        <v>207</v>
      </c>
      <c r="AV56" s="23">
        <f t="shared" si="17"/>
        <v>30</v>
      </c>
      <c r="AW56" s="23">
        <f t="shared" si="17"/>
        <v>177</v>
      </c>
      <c r="AX56" s="23">
        <f t="shared" si="17"/>
        <v>154</v>
      </c>
      <c r="AY56" s="23">
        <f>AY61+AY64+AY65</f>
        <v>118</v>
      </c>
      <c r="AZ56" s="23">
        <f>AZ61+AZ64+AZ65</f>
        <v>127</v>
      </c>
      <c r="BA56" s="23">
        <f>BA61+BA64+BA65</f>
        <v>152</v>
      </c>
      <c r="BB56" s="23">
        <f>BB61+BB64+BB65</f>
        <v>132</v>
      </c>
      <c r="BC56" s="23">
        <f>BC61+BC64+BC65</f>
        <v>143</v>
      </c>
    </row>
    <row r="57" spans="1:55" ht="15" customHeight="1" outlineLevel="1" x14ac:dyDescent="0.2">
      <c r="A57" s="64"/>
      <c r="B57" s="109" t="s">
        <v>3</v>
      </c>
      <c r="C57" s="60">
        <v>6</v>
      </c>
      <c r="D57" s="60">
        <v>17</v>
      </c>
      <c r="E57" s="60">
        <v>11</v>
      </c>
      <c r="F57" s="60">
        <v>15</v>
      </c>
      <c r="G57" s="60">
        <v>5</v>
      </c>
      <c r="H57" s="60">
        <v>38</v>
      </c>
      <c r="I57" s="60">
        <v>32</v>
      </c>
      <c r="J57" s="60">
        <v>8</v>
      </c>
      <c r="K57" s="60">
        <v>11</v>
      </c>
      <c r="L57" s="60">
        <v>20</v>
      </c>
      <c r="M57" s="60">
        <v>27</v>
      </c>
      <c r="N57" s="60">
        <v>24</v>
      </c>
      <c r="O57" s="60">
        <v>13</v>
      </c>
      <c r="P57" s="60">
        <v>16</v>
      </c>
      <c r="Q57" s="60">
        <v>28</v>
      </c>
      <c r="R57" s="60">
        <v>30</v>
      </c>
      <c r="S57" s="60">
        <v>0</v>
      </c>
      <c r="T57" s="60">
        <v>4</v>
      </c>
      <c r="U57" s="60">
        <v>23</v>
      </c>
      <c r="V57" s="60">
        <v>22</v>
      </c>
      <c r="W57" s="60">
        <v>4</v>
      </c>
      <c r="X57" s="60">
        <v>15</v>
      </c>
      <c r="Y57" s="60">
        <v>16</v>
      </c>
      <c r="Z57" s="60">
        <v>28</v>
      </c>
      <c r="AA57" s="3">
        <v>7</v>
      </c>
      <c r="AB57" s="3">
        <v>25</v>
      </c>
      <c r="AC57" s="3">
        <v>16</v>
      </c>
      <c r="AD57" s="3">
        <v>17</v>
      </c>
      <c r="AE57" s="3">
        <v>14</v>
      </c>
      <c r="AF57" s="3">
        <v>0</v>
      </c>
      <c r="AG57" s="3">
        <v>42</v>
      </c>
      <c r="AH57" s="3">
        <v>0</v>
      </c>
      <c r="AI57" s="3">
        <v>0</v>
      </c>
      <c r="AJ57" s="3">
        <v>43</v>
      </c>
      <c r="AK57" s="3">
        <v>78</v>
      </c>
      <c r="AL57" s="3">
        <v>71</v>
      </c>
      <c r="AM57" s="3">
        <v>53</v>
      </c>
      <c r="AN57" s="60">
        <v>55</v>
      </c>
      <c r="AO57" s="60">
        <v>97</v>
      </c>
      <c r="AP57" s="60">
        <v>20</v>
      </c>
      <c r="AQ57" s="60">
        <v>20</v>
      </c>
      <c r="AR57" s="60">
        <v>26</v>
      </c>
      <c r="AS57" s="60">
        <v>65</v>
      </c>
      <c r="AT57" s="60">
        <v>54</v>
      </c>
      <c r="AU57" s="60">
        <v>17</v>
      </c>
      <c r="AV57" s="60">
        <v>8</v>
      </c>
      <c r="AW57" s="60">
        <v>84</v>
      </c>
      <c r="AX57" s="60">
        <v>49</v>
      </c>
      <c r="AY57" s="60"/>
    </row>
    <row r="58" spans="1:55" ht="15" customHeight="1" outlineLevel="1" x14ac:dyDescent="0.2">
      <c r="A58" s="64"/>
      <c r="B58" s="109" t="s">
        <v>78</v>
      </c>
      <c r="C58" s="60">
        <v>8</v>
      </c>
      <c r="D58" s="60">
        <v>19</v>
      </c>
      <c r="E58" s="60">
        <v>61</v>
      </c>
      <c r="F58" s="60">
        <v>38</v>
      </c>
      <c r="G58" s="60">
        <v>26</v>
      </c>
      <c r="H58" s="60">
        <v>92</v>
      </c>
      <c r="I58" s="60">
        <v>36</v>
      </c>
      <c r="J58" s="60">
        <v>40</v>
      </c>
      <c r="K58" s="60">
        <v>21</v>
      </c>
      <c r="L58" s="60">
        <v>37</v>
      </c>
      <c r="M58" s="60">
        <v>20</v>
      </c>
      <c r="N58" s="60">
        <v>42</v>
      </c>
      <c r="O58" s="60">
        <v>9</v>
      </c>
      <c r="P58" s="60">
        <v>23</v>
      </c>
      <c r="Q58" s="60">
        <v>18</v>
      </c>
      <c r="R58" s="60">
        <v>25</v>
      </c>
      <c r="S58" s="60">
        <v>9</v>
      </c>
      <c r="T58" s="60">
        <v>35</v>
      </c>
      <c r="U58" s="60">
        <v>10</v>
      </c>
      <c r="V58" s="60">
        <v>43</v>
      </c>
      <c r="W58" s="60">
        <v>14</v>
      </c>
      <c r="X58" s="60">
        <v>27</v>
      </c>
      <c r="Y58" s="60">
        <v>28</v>
      </c>
      <c r="Z58" s="60">
        <v>55</v>
      </c>
      <c r="AA58" s="3">
        <v>8</v>
      </c>
      <c r="AB58" s="3">
        <v>53</v>
      </c>
      <c r="AC58" s="3">
        <v>53</v>
      </c>
      <c r="AD58" s="3">
        <v>48</v>
      </c>
      <c r="AE58" s="3">
        <v>22</v>
      </c>
      <c r="AF58" s="3">
        <v>56</v>
      </c>
      <c r="AG58" s="3">
        <v>59</v>
      </c>
      <c r="AH58" s="3">
        <v>64</v>
      </c>
      <c r="AI58" s="3">
        <v>54</v>
      </c>
      <c r="AJ58" s="3">
        <v>61</v>
      </c>
      <c r="AK58" s="3">
        <v>123</v>
      </c>
      <c r="AL58" s="3">
        <v>85</v>
      </c>
      <c r="AM58" s="3">
        <v>44</v>
      </c>
      <c r="AN58" s="60">
        <v>27</v>
      </c>
      <c r="AO58" s="60">
        <v>121</v>
      </c>
      <c r="AP58" s="60">
        <v>79</v>
      </c>
      <c r="AQ58" s="60">
        <v>40</v>
      </c>
      <c r="AR58" s="60">
        <v>36</v>
      </c>
      <c r="AS58" s="60">
        <v>90</v>
      </c>
      <c r="AT58" s="60">
        <v>83</v>
      </c>
      <c r="AU58" s="60">
        <v>153</v>
      </c>
      <c r="AV58" s="60">
        <v>22</v>
      </c>
      <c r="AW58" s="60">
        <v>93</v>
      </c>
      <c r="AX58" s="60">
        <v>105</v>
      </c>
      <c r="AY58" s="60"/>
    </row>
    <row r="59" spans="1:55" ht="15" customHeight="1" outlineLevel="1" x14ac:dyDescent="0.2">
      <c r="A59" s="64"/>
      <c r="B59" s="109" t="s">
        <v>2</v>
      </c>
      <c r="C59" s="60">
        <v>22</v>
      </c>
      <c r="D59" s="60">
        <v>24</v>
      </c>
      <c r="E59" s="60">
        <v>35</v>
      </c>
      <c r="F59" s="60">
        <v>43</v>
      </c>
      <c r="G59" s="60">
        <v>22</v>
      </c>
      <c r="H59" s="60">
        <v>88</v>
      </c>
      <c r="I59" s="3">
        <v>0</v>
      </c>
      <c r="J59" s="3">
        <v>0</v>
      </c>
      <c r="K59" s="60">
        <v>9</v>
      </c>
      <c r="L59" s="60">
        <v>21</v>
      </c>
      <c r="M59" s="3">
        <v>10</v>
      </c>
      <c r="N59" s="3">
        <v>0</v>
      </c>
      <c r="O59" s="3">
        <v>0</v>
      </c>
      <c r="P59" s="3">
        <v>27</v>
      </c>
      <c r="Q59" s="3">
        <v>19</v>
      </c>
      <c r="R59" s="3">
        <v>0</v>
      </c>
      <c r="S59" s="3">
        <v>0</v>
      </c>
      <c r="T59" s="60">
        <v>0</v>
      </c>
      <c r="U59" s="3">
        <v>0</v>
      </c>
      <c r="V59" s="3">
        <v>10</v>
      </c>
      <c r="W59" s="3">
        <v>0</v>
      </c>
      <c r="X59" s="3">
        <v>17</v>
      </c>
      <c r="Y59" s="3">
        <v>20</v>
      </c>
      <c r="Z59" s="3">
        <v>0</v>
      </c>
      <c r="AA59" s="3">
        <v>0</v>
      </c>
      <c r="AB59" s="60">
        <v>75</v>
      </c>
      <c r="AC59" s="60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/>
    </row>
    <row r="60" spans="1:55" ht="15" customHeight="1" outlineLevel="1" x14ac:dyDescent="0.2">
      <c r="A60" s="64"/>
      <c r="B60" s="109" t="s">
        <v>0</v>
      </c>
      <c r="C60" s="60">
        <v>0</v>
      </c>
      <c r="D60" s="3">
        <v>0</v>
      </c>
      <c r="E60" s="3">
        <v>0</v>
      </c>
      <c r="F60" s="60">
        <v>24</v>
      </c>
      <c r="G60" s="60">
        <v>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/>
    </row>
    <row r="61" spans="1:55" ht="15" customHeight="1" outlineLevel="1" x14ac:dyDescent="0.2">
      <c r="A61" s="64"/>
      <c r="B61" s="114" t="s">
        <v>223</v>
      </c>
      <c r="C61" s="99">
        <f t="shared" ref="C61:AT61" si="18">SUM(C57:C60)</f>
        <v>36</v>
      </c>
      <c r="D61" s="99">
        <f t="shared" si="18"/>
        <v>60</v>
      </c>
      <c r="E61" s="99">
        <f t="shared" si="18"/>
        <v>107</v>
      </c>
      <c r="F61" s="99">
        <f t="shared" si="18"/>
        <v>120</v>
      </c>
      <c r="G61" s="99">
        <f t="shared" si="18"/>
        <v>61</v>
      </c>
      <c r="H61" s="99">
        <f t="shared" si="18"/>
        <v>218</v>
      </c>
      <c r="I61" s="99">
        <f t="shared" si="18"/>
        <v>68</v>
      </c>
      <c r="J61" s="99">
        <f t="shared" si="18"/>
        <v>48</v>
      </c>
      <c r="K61" s="99">
        <f t="shared" si="18"/>
        <v>41</v>
      </c>
      <c r="L61" s="99">
        <f t="shared" si="18"/>
        <v>78</v>
      </c>
      <c r="M61" s="99">
        <f t="shared" si="18"/>
        <v>57</v>
      </c>
      <c r="N61" s="99">
        <f t="shared" si="18"/>
        <v>66</v>
      </c>
      <c r="O61" s="99">
        <f t="shared" si="18"/>
        <v>22</v>
      </c>
      <c r="P61" s="99">
        <f t="shared" si="18"/>
        <v>66</v>
      </c>
      <c r="Q61" s="99">
        <f t="shared" si="18"/>
        <v>65</v>
      </c>
      <c r="R61" s="99">
        <f t="shared" si="18"/>
        <v>55</v>
      </c>
      <c r="S61" s="99">
        <f t="shared" si="18"/>
        <v>9</v>
      </c>
      <c r="T61" s="99">
        <f t="shared" si="18"/>
        <v>39</v>
      </c>
      <c r="U61" s="99">
        <f t="shared" si="18"/>
        <v>33</v>
      </c>
      <c r="V61" s="99">
        <f t="shared" si="18"/>
        <v>75</v>
      </c>
      <c r="W61" s="99">
        <f t="shared" si="18"/>
        <v>18</v>
      </c>
      <c r="X61" s="99">
        <f t="shared" si="18"/>
        <v>59</v>
      </c>
      <c r="Y61" s="99">
        <f t="shared" si="18"/>
        <v>64</v>
      </c>
      <c r="Z61" s="99">
        <f t="shared" si="18"/>
        <v>83</v>
      </c>
      <c r="AA61" s="99">
        <f t="shared" si="18"/>
        <v>15</v>
      </c>
      <c r="AB61" s="99">
        <f t="shared" si="18"/>
        <v>153</v>
      </c>
      <c r="AC61" s="99">
        <f t="shared" si="18"/>
        <v>75</v>
      </c>
      <c r="AD61" s="99">
        <f t="shared" si="18"/>
        <v>65</v>
      </c>
      <c r="AE61" s="99">
        <f t="shared" si="18"/>
        <v>36</v>
      </c>
      <c r="AF61" s="99">
        <f t="shared" si="18"/>
        <v>56</v>
      </c>
      <c r="AG61" s="99">
        <f t="shared" si="18"/>
        <v>101</v>
      </c>
      <c r="AH61" s="99">
        <f t="shared" si="18"/>
        <v>64</v>
      </c>
      <c r="AI61" s="99">
        <f t="shared" si="18"/>
        <v>54</v>
      </c>
      <c r="AJ61" s="99">
        <f t="shared" si="18"/>
        <v>104</v>
      </c>
      <c r="AK61" s="99">
        <f t="shared" si="18"/>
        <v>201</v>
      </c>
      <c r="AL61" s="99">
        <f t="shared" si="18"/>
        <v>156</v>
      </c>
      <c r="AM61" s="99">
        <f t="shared" si="18"/>
        <v>97</v>
      </c>
      <c r="AN61" s="99">
        <f t="shared" si="18"/>
        <v>82</v>
      </c>
      <c r="AO61" s="99">
        <f t="shared" si="18"/>
        <v>218</v>
      </c>
      <c r="AP61" s="99">
        <f t="shared" si="18"/>
        <v>99</v>
      </c>
      <c r="AQ61" s="99">
        <f t="shared" si="18"/>
        <v>60</v>
      </c>
      <c r="AR61" s="99">
        <f t="shared" si="18"/>
        <v>62</v>
      </c>
      <c r="AS61" s="99">
        <f t="shared" si="18"/>
        <v>155</v>
      </c>
      <c r="AT61" s="99">
        <f t="shared" si="18"/>
        <v>137</v>
      </c>
      <c r="AU61" s="99">
        <v>170</v>
      </c>
      <c r="AV61" s="99">
        <f>SUM(AV57:AV60)</f>
        <v>30</v>
      </c>
      <c r="AW61" s="99">
        <f>SUM(AW57:AW60)</f>
        <v>177</v>
      </c>
      <c r="AX61" s="99">
        <f>SUM(AX57:AX60)</f>
        <v>154</v>
      </c>
      <c r="AY61" s="99">
        <v>118</v>
      </c>
      <c r="AZ61" s="117">
        <v>126</v>
      </c>
      <c r="BA61" s="117">
        <v>152</v>
      </c>
      <c r="BB61" s="117">
        <v>131</v>
      </c>
      <c r="BC61" s="117">
        <v>143</v>
      </c>
    </row>
    <row r="62" spans="1:55" ht="15" customHeight="1" outlineLevel="1" x14ac:dyDescent="0.2">
      <c r="A62" s="64"/>
      <c r="B62" s="120" t="s">
        <v>5</v>
      </c>
      <c r="C62" s="60">
        <v>0</v>
      </c>
      <c r="D62" s="3">
        <v>0</v>
      </c>
      <c r="E62" s="3">
        <v>0</v>
      </c>
      <c r="F62" s="60">
        <v>0</v>
      </c>
      <c r="G62" s="60">
        <v>16</v>
      </c>
      <c r="H62" s="60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44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46</v>
      </c>
      <c r="AJ62" s="3">
        <v>16</v>
      </c>
      <c r="AK62" s="3">
        <v>0</v>
      </c>
      <c r="AL62" s="3">
        <v>0</v>
      </c>
      <c r="AM62" s="3">
        <v>0</v>
      </c>
      <c r="AN62" s="60">
        <v>22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37</v>
      </c>
      <c r="AV62" s="60">
        <v>0</v>
      </c>
      <c r="AW62" s="60">
        <v>0</v>
      </c>
      <c r="AX62" s="60">
        <v>0</v>
      </c>
      <c r="AY62" s="60"/>
    </row>
    <row r="63" spans="1:55" ht="15" customHeight="1" outlineLevel="1" x14ac:dyDescent="0.2">
      <c r="A63" s="64"/>
      <c r="B63" s="120" t="s">
        <v>30</v>
      </c>
      <c r="C63" s="60">
        <v>0</v>
      </c>
      <c r="D63" s="3">
        <v>0</v>
      </c>
      <c r="E63" s="60">
        <v>19</v>
      </c>
      <c r="F63" s="60">
        <v>14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/>
    </row>
    <row r="64" spans="1:55" ht="15" customHeight="1" outlineLevel="1" x14ac:dyDescent="0.2">
      <c r="A64" s="64"/>
      <c r="B64" s="115" t="s">
        <v>224</v>
      </c>
      <c r="C64" s="99">
        <f t="shared" ref="C64:AT64" si="19">SUM(C62:C63)</f>
        <v>0</v>
      </c>
      <c r="D64" s="99">
        <f t="shared" si="19"/>
        <v>0</v>
      </c>
      <c r="E64" s="99">
        <f t="shared" si="19"/>
        <v>19</v>
      </c>
      <c r="F64" s="99">
        <f t="shared" si="19"/>
        <v>14</v>
      </c>
      <c r="G64" s="99">
        <f t="shared" si="19"/>
        <v>16</v>
      </c>
      <c r="H64" s="99">
        <f t="shared" si="19"/>
        <v>0</v>
      </c>
      <c r="I64" s="99">
        <f t="shared" si="19"/>
        <v>0</v>
      </c>
      <c r="J64" s="99">
        <f t="shared" si="19"/>
        <v>0</v>
      </c>
      <c r="K64" s="99">
        <f t="shared" si="19"/>
        <v>0</v>
      </c>
      <c r="L64" s="99">
        <f t="shared" si="19"/>
        <v>0</v>
      </c>
      <c r="M64" s="99">
        <f t="shared" si="19"/>
        <v>0</v>
      </c>
      <c r="N64" s="99">
        <f t="shared" si="19"/>
        <v>0</v>
      </c>
      <c r="O64" s="99">
        <f t="shared" si="19"/>
        <v>0</v>
      </c>
      <c r="P64" s="99">
        <f t="shared" si="19"/>
        <v>0</v>
      </c>
      <c r="Q64" s="99">
        <f t="shared" si="19"/>
        <v>0</v>
      </c>
      <c r="R64" s="99">
        <f t="shared" si="19"/>
        <v>0</v>
      </c>
      <c r="S64" s="99">
        <f t="shared" si="19"/>
        <v>0</v>
      </c>
      <c r="T64" s="99">
        <f t="shared" si="19"/>
        <v>0</v>
      </c>
      <c r="U64" s="99">
        <f t="shared" si="19"/>
        <v>0</v>
      </c>
      <c r="V64" s="99">
        <f t="shared" si="19"/>
        <v>0</v>
      </c>
      <c r="W64" s="99">
        <f t="shared" si="19"/>
        <v>0</v>
      </c>
      <c r="X64" s="99">
        <f t="shared" si="19"/>
        <v>0</v>
      </c>
      <c r="Y64" s="99">
        <f t="shared" si="19"/>
        <v>0</v>
      </c>
      <c r="Z64" s="99">
        <f t="shared" si="19"/>
        <v>0</v>
      </c>
      <c r="AA64" s="99">
        <f t="shared" si="19"/>
        <v>0</v>
      </c>
      <c r="AB64" s="99">
        <f t="shared" si="19"/>
        <v>44</v>
      </c>
      <c r="AC64" s="99">
        <f t="shared" si="19"/>
        <v>0</v>
      </c>
      <c r="AD64" s="99">
        <f t="shared" si="19"/>
        <v>0</v>
      </c>
      <c r="AE64" s="99">
        <f t="shared" si="19"/>
        <v>0</v>
      </c>
      <c r="AF64" s="99">
        <f t="shared" si="19"/>
        <v>0</v>
      </c>
      <c r="AG64" s="99">
        <f t="shared" si="19"/>
        <v>0</v>
      </c>
      <c r="AH64" s="99">
        <f t="shared" si="19"/>
        <v>0</v>
      </c>
      <c r="AI64" s="99">
        <f t="shared" si="19"/>
        <v>46</v>
      </c>
      <c r="AJ64" s="99">
        <f t="shared" si="19"/>
        <v>16</v>
      </c>
      <c r="AK64" s="99">
        <f t="shared" si="19"/>
        <v>0</v>
      </c>
      <c r="AL64" s="99">
        <f t="shared" si="19"/>
        <v>0</v>
      </c>
      <c r="AM64" s="99">
        <f t="shared" si="19"/>
        <v>0</v>
      </c>
      <c r="AN64" s="99">
        <f t="shared" si="19"/>
        <v>22</v>
      </c>
      <c r="AO64" s="99">
        <f t="shared" si="19"/>
        <v>0</v>
      </c>
      <c r="AP64" s="99">
        <f t="shared" si="19"/>
        <v>0</v>
      </c>
      <c r="AQ64" s="99">
        <f t="shared" si="19"/>
        <v>0</v>
      </c>
      <c r="AR64" s="99">
        <f t="shared" si="19"/>
        <v>0</v>
      </c>
      <c r="AS64" s="99">
        <f t="shared" si="19"/>
        <v>1</v>
      </c>
      <c r="AT64" s="99">
        <f t="shared" si="19"/>
        <v>0</v>
      </c>
      <c r="AU64" s="99">
        <v>37</v>
      </c>
      <c r="AV64" s="99">
        <f>SUM(AV62:AV63)</f>
        <v>0</v>
      </c>
      <c r="AW64" s="99">
        <f>SUM(AW62:AW63)</f>
        <v>0</v>
      </c>
      <c r="AX64" s="99">
        <f>SUM(AX62:AX63)</f>
        <v>0</v>
      </c>
      <c r="AY64" s="99">
        <v>0</v>
      </c>
      <c r="AZ64" s="117">
        <v>1</v>
      </c>
      <c r="BA64" s="117">
        <v>0</v>
      </c>
      <c r="BB64" s="117">
        <v>0</v>
      </c>
      <c r="BC64" s="117">
        <v>0</v>
      </c>
    </row>
    <row r="65" spans="1:55" ht="15" customHeight="1" outlineLevel="1" x14ac:dyDescent="0.2">
      <c r="B65" s="116" t="s">
        <v>148</v>
      </c>
      <c r="C65" s="121">
        <v>7</v>
      </c>
      <c r="D65" s="121">
        <v>0</v>
      </c>
      <c r="E65" s="121">
        <v>0</v>
      </c>
      <c r="F65" s="121">
        <v>0</v>
      </c>
      <c r="G65" s="121">
        <v>3</v>
      </c>
      <c r="H65" s="121">
        <v>5</v>
      </c>
      <c r="I65" s="121">
        <v>2</v>
      </c>
      <c r="J65" s="121">
        <v>0</v>
      </c>
      <c r="K65" s="121">
        <v>0</v>
      </c>
      <c r="L65" s="121">
        <v>0</v>
      </c>
      <c r="M65" s="121">
        <v>1</v>
      </c>
      <c r="N65" s="121">
        <v>0</v>
      </c>
      <c r="O65" s="121">
        <v>5</v>
      </c>
      <c r="P65" s="121">
        <v>2</v>
      </c>
      <c r="Q65" s="121">
        <v>2</v>
      </c>
      <c r="R65" s="121">
        <v>1</v>
      </c>
      <c r="S65" s="121">
        <v>0</v>
      </c>
      <c r="T65" s="121">
        <v>2</v>
      </c>
      <c r="U65" s="122">
        <v>0</v>
      </c>
      <c r="V65" s="122">
        <v>1</v>
      </c>
      <c r="W65" s="122">
        <v>2</v>
      </c>
      <c r="X65" s="122">
        <v>0</v>
      </c>
      <c r="Y65" s="122">
        <v>0</v>
      </c>
      <c r="Z65" s="122">
        <v>0</v>
      </c>
      <c r="AA65" s="122">
        <v>0</v>
      </c>
      <c r="AB65" s="121">
        <v>1</v>
      </c>
      <c r="AC65" s="122">
        <v>0</v>
      </c>
      <c r="AD65" s="122">
        <v>0</v>
      </c>
      <c r="AE65" s="122">
        <v>0</v>
      </c>
      <c r="AF65" s="122">
        <v>0</v>
      </c>
      <c r="AG65" s="122">
        <v>0</v>
      </c>
      <c r="AH65" s="122">
        <v>0</v>
      </c>
      <c r="AI65" s="122">
        <v>0</v>
      </c>
      <c r="AJ65" s="122">
        <v>0</v>
      </c>
      <c r="AK65" s="122">
        <v>0</v>
      </c>
      <c r="AL65" s="122">
        <v>0</v>
      </c>
      <c r="AM65" s="122">
        <v>0</v>
      </c>
      <c r="AN65" s="122">
        <v>0</v>
      </c>
      <c r="AO65" s="122">
        <v>0</v>
      </c>
      <c r="AP65" s="122">
        <v>0</v>
      </c>
      <c r="AQ65" s="122">
        <v>0</v>
      </c>
      <c r="AR65" s="122">
        <v>0</v>
      </c>
      <c r="AS65" s="122">
        <v>0</v>
      </c>
      <c r="AT65" s="122"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  <c r="BB65" s="117">
        <v>1</v>
      </c>
      <c r="BC65" s="122">
        <v>0</v>
      </c>
    </row>
    <row r="66" spans="1:55" ht="15" customHeight="1" outlineLevel="1" x14ac:dyDescent="0.25">
      <c r="A66" s="75"/>
      <c r="B66" s="37" t="s">
        <v>218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55" ht="15" customHeight="1" outlineLevel="1" x14ac:dyDescent="0.2">
      <c r="A67" s="63"/>
      <c r="B67" s="108" t="s">
        <v>199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3"/>
      <c r="V67" s="3"/>
      <c r="W67" s="3"/>
      <c r="X67" s="3"/>
      <c r="Y67" s="3"/>
      <c r="Z67" s="3"/>
      <c r="AA67" s="3"/>
      <c r="AB67" s="60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55" ht="15" customHeight="1" outlineLevel="1" x14ac:dyDescent="0.2">
      <c r="A68" s="63"/>
      <c r="B68" s="109" t="s">
        <v>217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"/>
      <c r="V68" s="3"/>
      <c r="W68" s="3"/>
      <c r="X68" s="3"/>
      <c r="Y68" s="3"/>
      <c r="Z68" s="3"/>
      <c r="AA68" s="3"/>
      <c r="AB68" s="60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>
        <v>23.863</v>
      </c>
      <c r="AT68" s="3">
        <f t="shared" ref="AT68:AV70" si="20">AT153-AS153</f>
        <v>2801</v>
      </c>
      <c r="AU68" s="3">
        <f t="shared" si="20"/>
        <v>3673</v>
      </c>
      <c r="AV68" s="3">
        <f t="shared" si="20"/>
        <v>1444</v>
      </c>
      <c r="AW68" s="3">
        <v>107</v>
      </c>
      <c r="AX68" s="3">
        <f t="shared" ref="AX68:AZ69" si="21">AX153-AW153</f>
        <v>1399</v>
      </c>
      <c r="AY68" s="3">
        <f t="shared" si="21"/>
        <v>2432</v>
      </c>
      <c r="AZ68" s="3">
        <f t="shared" si="21"/>
        <v>475</v>
      </c>
      <c r="BA68" s="60">
        <v>80</v>
      </c>
      <c r="BB68" s="3">
        <f t="shared" ref="BB68:BC70" si="22">BB153-BA153</f>
        <v>866</v>
      </c>
      <c r="BC68" s="3">
        <f t="shared" si="22"/>
        <v>963</v>
      </c>
    </row>
    <row r="69" spans="1:55" ht="15" customHeight="1" outlineLevel="1" x14ac:dyDescent="0.2">
      <c r="A69" s="63"/>
      <c r="B69" s="109" t="s">
        <v>25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3"/>
      <c r="V69" s="3"/>
      <c r="W69" s="3"/>
      <c r="X69" s="3"/>
      <c r="Y69" s="3"/>
      <c r="Z69" s="3"/>
      <c r="AA69" s="3"/>
      <c r="AB69" s="60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>
        <v>39.170999999999999</v>
      </c>
      <c r="AT69" s="3">
        <f t="shared" si="20"/>
        <v>1004</v>
      </c>
      <c r="AU69" s="3">
        <f t="shared" si="20"/>
        <v>930</v>
      </c>
      <c r="AV69" s="3">
        <f t="shared" si="20"/>
        <v>816</v>
      </c>
      <c r="AW69" s="3">
        <v>401</v>
      </c>
      <c r="AX69" s="3">
        <f t="shared" si="21"/>
        <v>591</v>
      </c>
      <c r="AY69" s="3">
        <f t="shared" si="21"/>
        <v>1375</v>
      </c>
      <c r="AZ69" s="3">
        <f t="shared" si="21"/>
        <v>1420</v>
      </c>
      <c r="BA69" s="60">
        <v>124</v>
      </c>
      <c r="BB69" s="3">
        <f t="shared" si="22"/>
        <v>245</v>
      </c>
      <c r="BC69" s="3">
        <f t="shared" si="22"/>
        <v>725</v>
      </c>
    </row>
    <row r="70" spans="1:55" ht="15" customHeight="1" outlineLevel="1" x14ac:dyDescent="0.2">
      <c r="A70" s="63"/>
      <c r="B70" s="109" t="s">
        <v>204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"/>
      <c r="V70" s="3"/>
      <c r="W70" s="3"/>
      <c r="X70" s="3"/>
      <c r="Y70" s="3"/>
      <c r="Z70" s="3"/>
      <c r="AA70" s="3"/>
      <c r="AB70" s="60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>
        <v>39.170999999999999</v>
      </c>
      <c r="AT70" s="3">
        <f t="shared" si="20"/>
        <v>8.8290000000000006</v>
      </c>
      <c r="AU70" s="3">
        <f t="shared" si="20"/>
        <v>0</v>
      </c>
      <c r="AV70" s="3">
        <f t="shared" si="20"/>
        <v>55</v>
      </c>
      <c r="AW70" s="3">
        <v>48.18</v>
      </c>
      <c r="AX70" s="3">
        <f t="shared" ref="AX70:AZ70" si="23">AX155-AW155</f>
        <v>3.8200000000000003</v>
      </c>
      <c r="AY70" s="3">
        <f t="shared" si="23"/>
        <v>0</v>
      </c>
      <c r="AZ70" s="3">
        <f t="shared" si="23"/>
        <v>66</v>
      </c>
      <c r="BA70" s="3">
        <v>34</v>
      </c>
      <c r="BB70" s="3">
        <f t="shared" si="22"/>
        <v>11</v>
      </c>
      <c r="BC70" s="3">
        <f t="shared" si="22"/>
        <v>0</v>
      </c>
    </row>
    <row r="71" spans="1:55" ht="15" customHeight="1" outlineLevel="1" x14ac:dyDescent="0.2">
      <c r="A71" s="63"/>
      <c r="B71" s="110" t="s">
        <v>200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1"/>
      <c r="V71" s="11"/>
      <c r="W71" s="11"/>
      <c r="X71" s="11"/>
      <c r="Y71" s="11"/>
      <c r="Z71" s="11"/>
      <c r="AA71" s="11"/>
      <c r="AB71" s="38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  <c r="AZ71" s="11"/>
      <c r="BA71" s="11"/>
      <c r="BB71" s="11"/>
      <c r="BC71" s="11"/>
    </row>
    <row r="72" spans="1:55" ht="15" customHeight="1" outlineLevel="1" x14ac:dyDescent="0.2">
      <c r="A72" s="63"/>
      <c r="B72" s="111" t="s">
        <v>205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9"/>
      <c r="V72" s="19"/>
      <c r="W72" s="19"/>
      <c r="X72" s="19"/>
      <c r="Y72" s="19"/>
      <c r="Z72" s="19"/>
      <c r="AA72" s="19"/>
      <c r="AB72" s="2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06"/>
      <c r="AX72" s="19"/>
      <c r="AY72" s="19"/>
      <c r="AZ72" s="19"/>
      <c r="BA72" s="19"/>
      <c r="BB72" s="19"/>
      <c r="BC72" s="19"/>
    </row>
    <row r="73" spans="1:55" ht="15" customHeight="1" outlineLevel="1" x14ac:dyDescent="0.2">
      <c r="A73" s="63"/>
      <c r="B73" s="112" t="s">
        <v>208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"/>
      <c r="V73" s="3"/>
      <c r="W73" s="3"/>
      <c r="X73" s="3"/>
      <c r="Y73" s="3"/>
      <c r="Z73" s="3"/>
      <c r="AA73" s="3"/>
      <c r="AB73" s="6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AT158-AS158</f>
        <v>0</v>
      </c>
      <c r="AU73" s="3">
        <f t="shared" ref="AU73:AV73" si="24">AU158-AT158</f>
        <v>0</v>
      </c>
      <c r="AV73" s="3">
        <f t="shared" si="24"/>
        <v>16</v>
      </c>
      <c r="AW73" s="3">
        <v>4255.1000000000004</v>
      </c>
      <c r="AX73" s="3">
        <f>AX158-AW158</f>
        <v>1520.8999999999996</v>
      </c>
      <c r="AY73" s="3">
        <f t="shared" ref="AY73:AZ73" si="25">AY158-AX158</f>
        <v>121</v>
      </c>
      <c r="AZ73" s="3">
        <f t="shared" si="25"/>
        <v>138</v>
      </c>
      <c r="BA73" s="3">
        <v>1181.04</v>
      </c>
      <c r="BB73" s="3">
        <f>BB158-BA158</f>
        <v>9109.9599999999991</v>
      </c>
      <c r="BC73" s="3">
        <f>BC158-BB158</f>
        <v>5</v>
      </c>
    </row>
    <row r="74" spans="1:55" ht="15" customHeight="1" outlineLevel="1" x14ac:dyDescent="0.2">
      <c r="A74" s="63"/>
      <c r="B74" s="112" t="s">
        <v>209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3"/>
      <c r="V74" s="3"/>
      <c r="W74" s="3"/>
      <c r="X74" s="3"/>
      <c r="Y74" s="3"/>
      <c r="Z74" s="3"/>
      <c r="AA74" s="3"/>
      <c r="AB74" s="6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790.55</v>
      </c>
      <c r="AT74" s="3">
        <f t="shared" ref="AT74:AV82" si="26">AT159-AS159</f>
        <v>2491.4499999999998</v>
      </c>
      <c r="AU74" s="3">
        <f t="shared" si="26"/>
        <v>0</v>
      </c>
      <c r="AV74" s="3">
        <f t="shared" si="26"/>
        <v>290</v>
      </c>
      <c r="AW74" s="3">
        <v>331.6</v>
      </c>
      <c r="AX74" s="3">
        <f t="shared" ref="AX74:AZ82" si="27">AX159-AW159</f>
        <v>2126.4</v>
      </c>
      <c r="AY74" s="3">
        <f t="shared" si="27"/>
        <v>0</v>
      </c>
      <c r="AZ74" s="3">
        <f t="shared" si="27"/>
        <v>0</v>
      </c>
      <c r="BA74" s="3">
        <v>5.5</v>
      </c>
      <c r="BB74" s="3">
        <f t="shared" ref="BB74:BC82" si="28">BB159-BA159</f>
        <v>1386.5</v>
      </c>
      <c r="BC74" s="3">
        <f t="shared" si="28"/>
        <v>348</v>
      </c>
    </row>
    <row r="75" spans="1:55" ht="15" customHeight="1" outlineLevel="1" x14ac:dyDescent="0.2">
      <c r="A75" s="63"/>
      <c r="B75" s="112" t="s">
        <v>207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3"/>
      <c r="V75" s="3"/>
      <c r="W75" s="3"/>
      <c r="X75" s="3"/>
      <c r="Y75" s="3"/>
      <c r="Z75" s="3"/>
      <c r="AA75" s="3"/>
      <c r="AB75" s="60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>
        <v>50.649000000000001</v>
      </c>
      <c r="AT75" s="3">
        <f t="shared" si="26"/>
        <v>29.350999999999999</v>
      </c>
      <c r="AU75" s="3">
        <f t="shared" si="26"/>
        <v>5</v>
      </c>
      <c r="AV75" s="3">
        <f t="shared" si="26"/>
        <v>5</v>
      </c>
      <c r="AW75" s="3">
        <v>42.08</v>
      </c>
      <c r="AX75" s="3">
        <f t="shared" si="27"/>
        <v>35.92</v>
      </c>
      <c r="AY75" s="3">
        <f t="shared" si="27"/>
        <v>6</v>
      </c>
      <c r="AZ75" s="3">
        <f t="shared" si="27"/>
        <v>16</v>
      </c>
      <c r="BA75" s="3">
        <v>36.491999999999997</v>
      </c>
      <c r="BB75" s="3">
        <f t="shared" si="28"/>
        <v>30.508000000000003</v>
      </c>
      <c r="BC75" s="3">
        <f t="shared" si="28"/>
        <v>6</v>
      </c>
    </row>
    <row r="76" spans="1:55" ht="15" customHeight="1" outlineLevel="1" x14ac:dyDescent="0.2">
      <c r="B76" s="112" t="s">
        <v>239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3"/>
      <c r="V76" s="3"/>
      <c r="W76" s="3"/>
      <c r="X76" s="3"/>
      <c r="Y76" s="3"/>
      <c r="Z76" s="3"/>
      <c r="AA76" s="3"/>
      <c r="AB76" s="60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>
        <v>10.7</v>
      </c>
      <c r="AT76" s="3">
        <f t="shared" si="26"/>
        <v>84.3</v>
      </c>
      <c r="AU76" s="3">
        <f t="shared" si="26"/>
        <v>87</v>
      </c>
      <c r="AV76" s="3">
        <f t="shared" si="26"/>
        <v>213</v>
      </c>
      <c r="AW76" s="3">
        <v>13.506</v>
      </c>
      <c r="AX76" s="3">
        <f t="shared" si="27"/>
        <v>60.494</v>
      </c>
      <c r="AY76" s="3">
        <f t="shared" si="27"/>
        <v>22</v>
      </c>
      <c r="AZ76" s="3">
        <f t="shared" si="27"/>
        <v>8</v>
      </c>
      <c r="BA76" s="3">
        <v>3.85</v>
      </c>
      <c r="BB76" s="3">
        <f t="shared" si="28"/>
        <v>29.15</v>
      </c>
      <c r="BC76" s="3">
        <f t="shared" si="28"/>
        <v>24</v>
      </c>
    </row>
    <row r="77" spans="1:55" ht="15" customHeight="1" outlineLevel="1" x14ac:dyDescent="0.2">
      <c r="A77" s="63"/>
      <c r="B77" s="112" t="s">
        <v>210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3"/>
      <c r="V77" s="3"/>
      <c r="W77" s="3"/>
      <c r="X77" s="3"/>
      <c r="Y77" s="3"/>
      <c r="Z77" s="3"/>
      <c r="AA77" s="3"/>
      <c r="AB77" s="60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 t="shared" si="26"/>
        <v>0</v>
      </c>
      <c r="AU77" s="3">
        <f t="shared" si="26"/>
        <v>0</v>
      </c>
      <c r="AV77" s="3">
        <f t="shared" si="26"/>
        <v>5</v>
      </c>
      <c r="AW77" s="3">
        <v>85.751000000000005</v>
      </c>
      <c r="AX77" s="3">
        <f t="shared" si="27"/>
        <v>0</v>
      </c>
      <c r="AY77" s="3">
        <f t="shared" si="27"/>
        <v>0</v>
      </c>
      <c r="AZ77" s="3">
        <f t="shared" si="27"/>
        <v>20.248999999999995</v>
      </c>
      <c r="BA77" s="3">
        <v>91.341999999999999</v>
      </c>
      <c r="BB77" s="3">
        <f t="shared" si="28"/>
        <v>-0.34199999999999875</v>
      </c>
      <c r="BC77" s="3">
        <f t="shared" si="28"/>
        <v>0</v>
      </c>
    </row>
    <row r="78" spans="1:55" ht="15" customHeight="1" outlineLevel="1" x14ac:dyDescent="0.2">
      <c r="A78" s="64"/>
      <c r="B78" s="112" t="s">
        <v>211</v>
      </c>
      <c r="AT78" s="3">
        <f t="shared" si="26"/>
        <v>0</v>
      </c>
      <c r="AU78" s="3">
        <f t="shared" si="26"/>
        <v>750</v>
      </c>
      <c r="AV78" s="3">
        <f t="shared" si="26"/>
        <v>18545</v>
      </c>
      <c r="AW78" s="3">
        <v>143.02000000000001</v>
      </c>
      <c r="AX78" s="3">
        <f t="shared" si="27"/>
        <v>1.9799999999999898</v>
      </c>
      <c r="AY78" s="3">
        <f t="shared" si="27"/>
        <v>1311</v>
      </c>
      <c r="AZ78" s="3">
        <f t="shared" si="27"/>
        <v>10333</v>
      </c>
      <c r="BA78" s="3">
        <v>144.80000000000001</v>
      </c>
      <c r="BB78" s="3">
        <f t="shared" si="28"/>
        <v>17.199999999999989</v>
      </c>
      <c r="BC78" s="3">
        <f t="shared" si="28"/>
        <v>3027</v>
      </c>
    </row>
    <row r="79" spans="1:55" ht="15" customHeight="1" outlineLevel="1" x14ac:dyDescent="0.2">
      <c r="A79" s="64"/>
      <c r="B79" s="112" t="s">
        <v>227</v>
      </c>
      <c r="AT79" s="3">
        <f t="shared" si="26"/>
        <v>0</v>
      </c>
      <c r="AU79" s="3">
        <f t="shared" si="26"/>
        <v>0</v>
      </c>
      <c r="AV79" s="3">
        <f t="shared" si="26"/>
        <v>0</v>
      </c>
      <c r="AW79" s="3">
        <v>143.02000000000001</v>
      </c>
      <c r="AX79" s="3">
        <f t="shared" si="27"/>
        <v>0</v>
      </c>
      <c r="AY79" s="3">
        <f t="shared" si="27"/>
        <v>0</v>
      </c>
      <c r="AZ79" s="3">
        <f t="shared" si="27"/>
        <v>9990</v>
      </c>
      <c r="BA79" s="3">
        <v>334.06</v>
      </c>
      <c r="BB79" s="3">
        <f t="shared" si="28"/>
        <v>8329.94</v>
      </c>
      <c r="BC79" s="3">
        <f t="shared" si="28"/>
        <v>36</v>
      </c>
    </row>
    <row r="80" spans="1:55" ht="15" customHeight="1" outlineLevel="1" x14ac:dyDescent="0.2">
      <c r="A80" s="64"/>
      <c r="B80" s="112" t="s">
        <v>228</v>
      </c>
      <c r="AT80" s="3">
        <f t="shared" si="26"/>
        <v>0</v>
      </c>
      <c r="AU80" s="3">
        <f t="shared" si="26"/>
        <v>0</v>
      </c>
      <c r="AV80" s="3">
        <f t="shared" si="26"/>
        <v>0</v>
      </c>
      <c r="AW80" s="3">
        <v>143.02000000000001</v>
      </c>
      <c r="AX80" s="3">
        <f t="shared" si="27"/>
        <v>0</v>
      </c>
      <c r="AY80" s="3">
        <f t="shared" si="27"/>
        <v>0</v>
      </c>
      <c r="AZ80" s="3">
        <f t="shared" si="27"/>
        <v>1871</v>
      </c>
      <c r="BA80" s="3">
        <v>0</v>
      </c>
      <c r="BB80" s="3">
        <f t="shared" si="28"/>
        <v>0</v>
      </c>
      <c r="BC80" s="3">
        <f t="shared" si="28"/>
        <v>746.38</v>
      </c>
    </row>
    <row r="81" spans="1:55" ht="15" customHeight="1" outlineLevel="1" x14ac:dyDescent="0.2">
      <c r="A81" s="64"/>
      <c r="B81" s="112" t="s">
        <v>219</v>
      </c>
      <c r="AT81" s="3">
        <f t="shared" si="26"/>
        <v>0</v>
      </c>
      <c r="AU81" s="3">
        <f t="shared" si="26"/>
        <v>42</v>
      </c>
      <c r="AV81" s="3">
        <f t="shared" si="26"/>
        <v>0</v>
      </c>
      <c r="AW81" s="3"/>
      <c r="AX81" s="3">
        <f t="shared" si="27"/>
        <v>9</v>
      </c>
      <c r="AY81" s="3">
        <f t="shared" si="27"/>
        <v>0</v>
      </c>
      <c r="AZ81" s="3">
        <f t="shared" si="27"/>
        <v>0</v>
      </c>
      <c r="BA81" s="3">
        <v>19.619</v>
      </c>
      <c r="BB81" s="3">
        <f t="shared" si="28"/>
        <v>29.381</v>
      </c>
      <c r="BC81" s="3">
        <f t="shared" si="28"/>
        <v>0</v>
      </c>
    </row>
    <row r="82" spans="1:55" ht="15" customHeight="1" outlineLevel="1" x14ac:dyDescent="0.2">
      <c r="A82" s="64"/>
      <c r="B82" s="112" t="s">
        <v>240</v>
      </c>
      <c r="AT82" s="3">
        <f t="shared" si="26"/>
        <v>1</v>
      </c>
      <c r="AU82" s="3">
        <f t="shared" si="26"/>
        <v>-1</v>
      </c>
      <c r="AV82" s="3">
        <f t="shared" si="26"/>
        <v>4</v>
      </c>
      <c r="AW82" s="3"/>
      <c r="AX82" s="3">
        <f t="shared" si="27"/>
        <v>0</v>
      </c>
      <c r="AY82" s="3">
        <f t="shared" si="27"/>
        <v>0</v>
      </c>
      <c r="AZ82" s="3">
        <f t="shared" si="27"/>
        <v>1</v>
      </c>
      <c r="BA82" s="3">
        <v>0</v>
      </c>
      <c r="BB82" s="3">
        <f t="shared" si="28"/>
        <v>0</v>
      </c>
      <c r="BC82" s="3">
        <f t="shared" si="28"/>
        <v>0</v>
      </c>
    </row>
    <row r="83" spans="1:55" ht="15" customHeight="1" outlineLevel="1" x14ac:dyDescent="0.2">
      <c r="A83" s="64"/>
      <c r="B83" s="111" t="s">
        <v>206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9">
        <f t="shared" ref="AT83:AV85" si="29">AT169-AS169</f>
        <v>0</v>
      </c>
      <c r="AU83" s="19">
        <f t="shared" si="29"/>
        <v>0</v>
      </c>
      <c r="AV83" s="19">
        <f t="shared" si="29"/>
        <v>0</v>
      </c>
      <c r="AW83" s="106"/>
      <c r="AX83" s="19">
        <f t="shared" ref="AX83:AZ85" si="30">AX169-AW169</f>
        <v>0</v>
      </c>
      <c r="AY83" s="19">
        <f t="shared" si="30"/>
        <v>0</v>
      </c>
      <c r="AZ83" s="19">
        <f t="shared" si="30"/>
        <v>0</v>
      </c>
      <c r="BA83" s="19"/>
      <c r="BB83" s="19"/>
      <c r="BC83" s="19"/>
    </row>
    <row r="84" spans="1:55" ht="15" customHeight="1" outlineLevel="1" x14ac:dyDescent="0.2">
      <c r="A84" s="64"/>
      <c r="B84" s="112" t="s">
        <v>207</v>
      </c>
      <c r="AS84" s="3"/>
      <c r="AT84" s="3">
        <f t="shared" si="29"/>
        <v>0</v>
      </c>
      <c r="AU84" s="3">
        <f t="shared" si="29"/>
        <v>0</v>
      </c>
      <c r="AV84" s="3">
        <f t="shared" si="29"/>
        <v>0</v>
      </c>
      <c r="AW84" s="3">
        <v>9</v>
      </c>
      <c r="AX84" s="3">
        <f t="shared" si="30"/>
        <v>0</v>
      </c>
      <c r="AY84" s="3">
        <f t="shared" si="30"/>
        <v>0</v>
      </c>
      <c r="AZ84" s="3">
        <f t="shared" si="30"/>
        <v>0</v>
      </c>
      <c r="BA84" s="60">
        <v>0</v>
      </c>
      <c r="BB84" s="3">
        <f t="shared" ref="BB84:BB85" si="31">BB170-BA170</f>
        <v>0</v>
      </c>
      <c r="BC84" s="3">
        <f t="shared" ref="BC84:BC85" si="32">BC171-BB171</f>
        <v>0</v>
      </c>
    </row>
    <row r="85" spans="1:55" ht="15" customHeight="1" outlineLevel="1" x14ac:dyDescent="0.25">
      <c r="A85" s="75" t="s">
        <v>79</v>
      </c>
      <c r="B85" s="112" t="s">
        <v>208</v>
      </c>
      <c r="AS85" s="3">
        <v>646.24</v>
      </c>
      <c r="AT85" s="3">
        <f t="shared" si="29"/>
        <v>0</v>
      </c>
      <c r="AU85" s="3">
        <f t="shared" si="29"/>
        <v>0</v>
      </c>
      <c r="AV85" s="3">
        <f t="shared" si="29"/>
        <v>0</v>
      </c>
      <c r="AW85" s="3">
        <v>495.07</v>
      </c>
      <c r="AX85" s="3">
        <f t="shared" si="30"/>
        <v>0</v>
      </c>
      <c r="AY85" s="3">
        <f t="shared" si="30"/>
        <v>0</v>
      </c>
      <c r="AZ85" s="3">
        <f t="shared" si="30"/>
        <v>1760</v>
      </c>
      <c r="BA85" s="60">
        <v>0</v>
      </c>
      <c r="BB85" s="3">
        <f t="shared" si="31"/>
        <v>0</v>
      </c>
      <c r="BC85" s="3">
        <f t="shared" si="32"/>
        <v>0</v>
      </c>
    </row>
    <row r="86" spans="1:55" ht="15" customHeight="1" x14ac:dyDescent="0.2">
      <c r="A86" s="64"/>
    </row>
    <row r="87" spans="1:55" ht="14.1" customHeight="1" outlineLevel="1" x14ac:dyDescent="0.2">
      <c r="A87" s="64"/>
      <c r="B87" s="20" t="s">
        <v>10</v>
      </c>
      <c r="C87" s="31" t="s">
        <v>84</v>
      </c>
      <c r="D87" s="31">
        <v>2008</v>
      </c>
      <c r="E87" s="31" t="s">
        <v>85</v>
      </c>
      <c r="F87" s="31" t="s">
        <v>86</v>
      </c>
      <c r="G87" s="31" t="s">
        <v>87</v>
      </c>
      <c r="H87" s="31">
        <v>2009</v>
      </c>
      <c r="I87" s="31" t="s">
        <v>88</v>
      </c>
      <c r="J87" s="31" t="s">
        <v>89</v>
      </c>
      <c r="K87" s="31" t="s">
        <v>90</v>
      </c>
      <c r="L87" s="31">
        <v>2010</v>
      </c>
      <c r="M87" s="31" t="s">
        <v>91</v>
      </c>
      <c r="N87" s="31" t="s">
        <v>92</v>
      </c>
      <c r="O87" s="31" t="s">
        <v>93</v>
      </c>
      <c r="P87" s="20">
        <v>2011</v>
      </c>
      <c r="Q87" s="20" t="s">
        <v>94</v>
      </c>
      <c r="R87" s="20" t="s">
        <v>95</v>
      </c>
      <c r="S87" s="20" t="s">
        <v>96</v>
      </c>
      <c r="T87" s="20">
        <v>2012</v>
      </c>
      <c r="U87" s="20" t="s">
        <v>97</v>
      </c>
      <c r="V87" s="20" t="s">
        <v>98</v>
      </c>
      <c r="W87" s="20" t="s">
        <v>99</v>
      </c>
      <c r="X87" s="20">
        <v>2013</v>
      </c>
      <c r="Y87" s="20" t="s">
        <v>100</v>
      </c>
      <c r="Z87" s="20" t="s">
        <v>101</v>
      </c>
      <c r="AA87" s="20" t="s">
        <v>102</v>
      </c>
      <c r="AB87" s="20">
        <v>2014</v>
      </c>
      <c r="AC87" s="20" t="s">
        <v>103</v>
      </c>
      <c r="AD87" s="20" t="s">
        <v>104</v>
      </c>
      <c r="AE87" s="20" t="s">
        <v>105</v>
      </c>
      <c r="AF87" s="20">
        <v>2015</v>
      </c>
      <c r="AG87" s="20" t="s">
        <v>106</v>
      </c>
      <c r="AH87" s="20" t="s">
        <v>107</v>
      </c>
      <c r="AI87" s="20" t="s">
        <v>108</v>
      </c>
      <c r="AJ87" s="20">
        <v>2016</v>
      </c>
      <c r="AK87" s="20" t="s">
        <v>109</v>
      </c>
      <c r="AL87" s="20" t="s">
        <v>110</v>
      </c>
      <c r="AM87" s="20" t="s">
        <v>111</v>
      </c>
      <c r="AN87" s="20">
        <v>2017</v>
      </c>
      <c r="AO87" s="20" t="s">
        <v>112</v>
      </c>
      <c r="AP87" s="20" t="s">
        <v>113</v>
      </c>
      <c r="AQ87" s="20" t="s">
        <v>114</v>
      </c>
      <c r="AR87" s="20">
        <v>2018</v>
      </c>
      <c r="AS87" s="20" t="s">
        <v>187</v>
      </c>
      <c r="AT87" s="20" t="s">
        <v>190</v>
      </c>
      <c r="AU87" s="20" t="s">
        <v>192</v>
      </c>
      <c r="AV87" s="20">
        <v>2019</v>
      </c>
      <c r="AW87" s="20" t="s">
        <v>197</v>
      </c>
      <c r="AX87" s="20" t="s">
        <v>216</v>
      </c>
      <c r="AY87" s="20" t="s">
        <v>222</v>
      </c>
      <c r="AZ87" s="20">
        <v>2020</v>
      </c>
      <c r="BA87" s="20" t="s">
        <v>235</v>
      </c>
      <c r="BB87" s="20" t="s">
        <v>238</v>
      </c>
      <c r="BC87" s="20" t="s">
        <v>242</v>
      </c>
    </row>
    <row r="88" spans="1:55" ht="14.1" customHeight="1" outlineLevel="1" x14ac:dyDescent="0.2">
      <c r="A88" s="64"/>
      <c r="B88" s="21" t="s">
        <v>201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</row>
    <row r="89" spans="1:55" ht="14.1" customHeight="1" outlineLevel="1" x14ac:dyDescent="0.2">
      <c r="A89" s="64"/>
      <c r="B89" s="6" t="s">
        <v>23</v>
      </c>
      <c r="C89" s="7">
        <v>1377</v>
      </c>
      <c r="D89" s="7">
        <v>1333</v>
      </c>
      <c r="E89" s="7">
        <v>1132</v>
      </c>
      <c r="F89" s="7">
        <v>1421</v>
      </c>
      <c r="G89" s="7">
        <v>1366</v>
      </c>
      <c r="H89" s="7">
        <v>1259</v>
      </c>
      <c r="I89" s="7">
        <v>1297</v>
      </c>
      <c r="J89" s="7">
        <v>1519</v>
      </c>
      <c r="K89" s="7">
        <v>1412</v>
      </c>
      <c r="L89" s="7">
        <v>1830</v>
      </c>
      <c r="M89" s="7">
        <v>2034</v>
      </c>
      <c r="N89" s="7">
        <v>2066</v>
      </c>
      <c r="O89" s="7">
        <v>1810</v>
      </c>
      <c r="P89" s="7">
        <v>2005</v>
      </c>
      <c r="Q89" s="7">
        <v>1903</v>
      </c>
      <c r="R89" s="7">
        <v>2266</v>
      </c>
      <c r="S89" s="7">
        <v>2339</v>
      </c>
      <c r="T89" s="7">
        <v>2150</v>
      </c>
      <c r="U89" s="7">
        <v>2386</v>
      </c>
      <c r="V89" s="7">
        <v>2115</v>
      </c>
      <c r="W89" s="7">
        <v>1994</v>
      </c>
      <c r="X89" s="7">
        <v>2998</v>
      </c>
      <c r="Y89" s="7">
        <v>2635</v>
      </c>
      <c r="Z89" s="7">
        <v>2531</v>
      </c>
      <c r="AA89" s="7">
        <v>2209</v>
      </c>
      <c r="AB89" s="7">
        <v>2373</v>
      </c>
      <c r="AC89" s="7">
        <v>2200</v>
      </c>
      <c r="AD89" s="7">
        <v>2238</v>
      </c>
      <c r="AE89" s="7">
        <v>2004</v>
      </c>
      <c r="AF89" s="7">
        <v>1711</v>
      </c>
      <c r="AG89" s="7">
        <v>1906</v>
      </c>
      <c r="AH89" s="7">
        <v>1819</v>
      </c>
      <c r="AI89" s="8">
        <v>1653</v>
      </c>
      <c r="AJ89" s="7">
        <v>3670</v>
      </c>
      <c r="AK89" s="7">
        <v>3808</v>
      </c>
      <c r="AL89" s="7">
        <v>3603</v>
      </c>
      <c r="AM89" s="7">
        <v>3570</v>
      </c>
      <c r="AN89" s="7">
        <v>3419</v>
      </c>
      <c r="AO89" s="7">
        <v>3082</v>
      </c>
      <c r="AP89" s="7">
        <v>2606</v>
      </c>
      <c r="AQ89" s="7">
        <v>3041</v>
      </c>
      <c r="AR89" s="7">
        <v>2746.6204480000001</v>
      </c>
      <c r="AS89" s="7">
        <v>2260.72883</v>
      </c>
      <c r="AT89" s="7">
        <v>1846.0777943564945</v>
      </c>
      <c r="AU89" s="7">
        <v>1779.1694158556531</v>
      </c>
      <c r="AV89" s="7">
        <v>1715.0767694172578</v>
      </c>
      <c r="AW89" s="7">
        <v>1447.4346994359778</v>
      </c>
      <c r="AX89" s="7">
        <v>1490.8291633872475</v>
      </c>
      <c r="AY89" s="7">
        <v>1579.1346639999999</v>
      </c>
      <c r="AZ89" s="7">
        <v>1403.3501665471547</v>
      </c>
      <c r="BA89" s="7">
        <v>1635.2649989922677</v>
      </c>
      <c r="BB89" s="7">
        <v>1506.2807012816097</v>
      </c>
      <c r="BC89" s="7">
        <v>1460.2577264003248</v>
      </c>
    </row>
    <row r="90" spans="1:55" ht="15" customHeight="1" outlineLevel="1" x14ac:dyDescent="0.2">
      <c r="A90" s="64"/>
      <c r="B90" s="9" t="s">
        <v>12</v>
      </c>
      <c r="C90" s="38">
        <v>92</v>
      </c>
      <c r="D90" s="38">
        <v>75</v>
      </c>
      <c r="E90" s="38">
        <v>71</v>
      </c>
      <c r="F90" s="38">
        <v>60</v>
      </c>
      <c r="G90" s="38">
        <v>43</v>
      </c>
      <c r="H90" s="38">
        <v>34</v>
      </c>
      <c r="I90" s="38">
        <v>30</v>
      </c>
      <c r="J90" s="38">
        <v>41</v>
      </c>
      <c r="K90" s="38">
        <v>34</v>
      </c>
      <c r="L90" s="38">
        <v>36</v>
      </c>
      <c r="M90" s="38">
        <v>38</v>
      </c>
      <c r="N90" s="38">
        <v>78</v>
      </c>
      <c r="O90" s="38">
        <v>55</v>
      </c>
      <c r="P90" s="11">
        <v>555</v>
      </c>
      <c r="Q90" s="11">
        <v>516</v>
      </c>
      <c r="R90" s="11">
        <v>484</v>
      </c>
      <c r="S90" s="11">
        <v>563</v>
      </c>
      <c r="T90" s="11">
        <v>561</v>
      </c>
      <c r="U90" s="11">
        <v>500</v>
      </c>
      <c r="V90" s="11">
        <v>436</v>
      </c>
      <c r="W90" s="11">
        <v>514</v>
      </c>
      <c r="X90" s="11">
        <v>476</v>
      </c>
      <c r="Y90" s="11">
        <v>357</v>
      </c>
      <c r="Z90" s="11">
        <v>313</v>
      </c>
      <c r="AA90" s="11">
        <v>259</v>
      </c>
      <c r="AB90" s="11">
        <v>754</v>
      </c>
      <c r="AC90" s="11">
        <v>762</v>
      </c>
      <c r="AD90" s="11">
        <v>737</v>
      </c>
      <c r="AE90" s="11">
        <v>663</v>
      </c>
      <c r="AF90" s="11">
        <v>572</v>
      </c>
      <c r="AG90" s="11">
        <v>980</v>
      </c>
      <c r="AH90" s="11">
        <v>1066</v>
      </c>
      <c r="AI90" s="11">
        <v>961</v>
      </c>
      <c r="AJ90" s="11">
        <v>782</v>
      </c>
      <c r="AK90" s="11">
        <v>729</v>
      </c>
      <c r="AL90" s="11">
        <v>658</v>
      </c>
      <c r="AM90" s="11">
        <v>639</v>
      </c>
      <c r="AN90" s="11">
        <v>577.51884199999995</v>
      </c>
      <c r="AO90" s="13">
        <v>541.17988300000002</v>
      </c>
      <c r="AP90" s="13">
        <v>413.59980100000001</v>
      </c>
      <c r="AQ90" s="13">
        <v>310</v>
      </c>
      <c r="AR90" s="13">
        <v>266.14649500000002</v>
      </c>
      <c r="AS90" s="3">
        <v>237.652613</v>
      </c>
      <c r="AT90" s="3">
        <v>191.44550412683063</v>
      </c>
      <c r="AU90" s="3">
        <v>154.50081351376423</v>
      </c>
      <c r="AV90" s="3">
        <v>162.81944898104106</v>
      </c>
      <c r="AW90" s="3">
        <v>79.604203626667712</v>
      </c>
      <c r="AX90" s="3">
        <v>86.916245175134605</v>
      </c>
      <c r="AY90" s="3">
        <v>79.447783000000001</v>
      </c>
      <c r="AZ90" s="3">
        <v>51.980410562879364</v>
      </c>
      <c r="BA90" s="3">
        <v>44.913985196876823</v>
      </c>
      <c r="BB90" s="3">
        <v>32.893025933254357</v>
      </c>
      <c r="BC90" s="3">
        <v>51.5147366367882</v>
      </c>
    </row>
    <row r="91" spans="1:55" ht="15" customHeight="1" outlineLevel="1" x14ac:dyDescent="0.2">
      <c r="A91" s="64"/>
      <c r="B91" s="12" t="s">
        <v>13</v>
      </c>
      <c r="C91" s="13">
        <f t="shared" ref="C91" si="33">+C92+C93+C94+C95</f>
        <v>1285</v>
      </c>
      <c r="D91" s="13">
        <f t="shared" ref="D91" si="34">+D92+D93+D94+D95</f>
        <v>1258</v>
      </c>
      <c r="E91" s="13">
        <f t="shared" ref="E91" si="35">+E92+E93+E94+E95</f>
        <v>1061</v>
      </c>
      <c r="F91" s="13">
        <f t="shared" ref="F91" si="36">+F92+F93+F94+F95</f>
        <v>1361</v>
      </c>
      <c r="G91" s="13">
        <f t="shared" ref="G91" si="37">+G92+G93+G94+G95</f>
        <v>1323</v>
      </c>
      <c r="H91" s="13">
        <f t="shared" ref="H91" si="38">+H92+H93+H94+H95</f>
        <v>1225</v>
      </c>
      <c r="I91" s="13">
        <f>+I92+I93+I94+I95</f>
        <v>1266</v>
      </c>
      <c r="J91" s="13">
        <f t="shared" ref="J91" si="39">+J92+J93+J94+J95</f>
        <v>1478</v>
      </c>
      <c r="K91" s="13">
        <f t="shared" ref="K91" si="40">+K92+K93+K94+K95</f>
        <v>1377</v>
      </c>
      <c r="L91" s="13">
        <f t="shared" ref="L91" si="41">+L92+L93+L94+L95</f>
        <v>1792</v>
      </c>
      <c r="M91" s="13">
        <f t="shared" ref="M91" si="42">+M92+M93+M94+M95</f>
        <v>1996</v>
      </c>
      <c r="N91" s="13">
        <f t="shared" ref="N91" si="43">+N92+N93+N94+N95</f>
        <v>1988</v>
      </c>
      <c r="O91" s="13">
        <f t="shared" ref="O91" si="44">+O92+O93+O94+O95</f>
        <v>1755</v>
      </c>
      <c r="P91" s="13">
        <f t="shared" ref="P91" si="45">+P92+P93+P94+P95</f>
        <v>1450</v>
      </c>
      <c r="Q91" s="13">
        <f t="shared" ref="Q91" si="46">+Q92+Q93+Q94+Q95</f>
        <v>1387</v>
      </c>
      <c r="R91" s="13">
        <f t="shared" ref="R91" si="47">+R92+R93+R94+R95</f>
        <v>1782</v>
      </c>
      <c r="S91" s="13">
        <f t="shared" ref="S91" si="48">+S92+S93+S94+S95</f>
        <v>1776</v>
      </c>
      <c r="T91" s="13">
        <f t="shared" ref="T91" si="49">+T92+T93+T94+T95</f>
        <v>1590</v>
      </c>
      <c r="U91" s="13">
        <f t="shared" ref="U91" si="50">+U92+U93+U94+U95</f>
        <v>1886</v>
      </c>
      <c r="V91" s="13">
        <f t="shared" ref="V91" si="51">+V92+V93+V94+V95</f>
        <v>1679</v>
      </c>
      <c r="W91" s="13">
        <f t="shared" ref="W91" si="52">+W92+W93+W94+W95</f>
        <v>1481</v>
      </c>
      <c r="X91" s="13">
        <f t="shared" ref="X91" si="53">+X92+X93+X94+X95</f>
        <v>2524</v>
      </c>
      <c r="Y91" s="13">
        <f t="shared" ref="Y91" si="54">+Y92+Y93+Y94+Y95</f>
        <v>2279</v>
      </c>
      <c r="Z91" s="13">
        <f t="shared" ref="Z91" si="55">+Z92+Z93+Z94+Z95</f>
        <v>2219</v>
      </c>
      <c r="AA91" s="13">
        <f t="shared" ref="AA91" si="56">+AA92+AA93+AA94+AA95</f>
        <v>1950</v>
      </c>
      <c r="AB91" s="13">
        <f t="shared" ref="AB91" si="57">+AB92+AB93+AB94+AB95</f>
        <v>1619</v>
      </c>
      <c r="AC91" s="13">
        <f t="shared" ref="AC91" si="58">+AC92+AC93+AC94+AC95</f>
        <v>1439</v>
      </c>
      <c r="AD91" s="13">
        <f t="shared" ref="AD91" si="59">+AD92+AD93+AD94+AD95</f>
        <v>1502</v>
      </c>
      <c r="AE91" s="13">
        <f t="shared" ref="AE91" si="60">+AE92+AE93+AE94+AE95</f>
        <v>1341</v>
      </c>
      <c r="AF91" s="13">
        <f t="shared" ref="AF91" si="61">+AF92+AF93+AF94+AF95</f>
        <v>1139</v>
      </c>
      <c r="AG91" s="13">
        <f t="shared" ref="AG91" si="62">+AG92+AG93+AG94+AG95</f>
        <v>926</v>
      </c>
      <c r="AH91" s="13">
        <f t="shared" ref="AH91" si="63">+AH92+AH93+AH94+AH95</f>
        <v>753</v>
      </c>
      <c r="AI91" s="13">
        <f t="shared" ref="AI91" si="64">+AI92+AI93+AI94+AI95</f>
        <v>691</v>
      </c>
      <c r="AJ91" s="13">
        <f t="shared" ref="AJ91" si="65">+AJ92+AJ93+AJ94+AJ95</f>
        <v>2889</v>
      </c>
      <c r="AK91" s="13">
        <f t="shared" ref="AK91" si="66">+AK92+AK93+AK94+AK95</f>
        <v>3079</v>
      </c>
      <c r="AL91" s="13">
        <f t="shared" ref="AL91:BC91" si="67">+AL92+AL93+AL94+AL95</f>
        <v>2945</v>
      </c>
      <c r="AM91" s="13">
        <f t="shared" si="67"/>
        <v>2932</v>
      </c>
      <c r="AN91" s="13">
        <f t="shared" si="67"/>
        <v>2841.2429069999998</v>
      </c>
      <c r="AO91" s="13">
        <f t="shared" si="67"/>
        <v>2541</v>
      </c>
      <c r="AP91" s="13">
        <f t="shared" si="67"/>
        <v>2192</v>
      </c>
      <c r="AQ91" s="13">
        <f t="shared" si="67"/>
        <v>2731</v>
      </c>
      <c r="AR91" s="13">
        <f t="shared" si="67"/>
        <v>2480.4739533875495</v>
      </c>
      <c r="AS91" s="3">
        <f t="shared" si="67"/>
        <v>2023.076217</v>
      </c>
      <c r="AT91" s="3">
        <f t="shared" si="67"/>
        <v>1654.6322902296638</v>
      </c>
      <c r="AU91" s="3">
        <f t="shared" si="67"/>
        <v>1624.6686023418888</v>
      </c>
      <c r="AV91" s="3">
        <f t="shared" si="67"/>
        <v>1552.2573204362168</v>
      </c>
      <c r="AW91" s="3">
        <f t="shared" si="67"/>
        <v>1367.8304958093099</v>
      </c>
      <c r="AX91" s="3">
        <f t="shared" si="67"/>
        <v>1403.912916</v>
      </c>
      <c r="AY91" s="3">
        <f t="shared" si="67"/>
        <v>1499.6868806255643</v>
      </c>
      <c r="AZ91" s="3">
        <f t="shared" si="67"/>
        <v>1351.3697559842751</v>
      </c>
      <c r="BA91" s="3">
        <f t="shared" si="67"/>
        <v>1590.3510137953913</v>
      </c>
      <c r="BB91" s="3">
        <f t="shared" si="67"/>
        <v>1472.7132615695632</v>
      </c>
      <c r="BC91" s="3">
        <f t="shared" si="67"/>
        <v>1408.7429897635366</v>
      </c>
    </row>
    <row r="92" spans="1:55" ht="15" customHeight="1" outlineLevel="1" x14ac:dyDescent="0.2">
      <c r="A92" s="64"/>
      <c r="B92" s="14" t="s">
        <v>14</v>
      </c>
      <c r="C92" s="13">
        <v>824</v>
      </c>
      <c r="D92" s="13">
        <v>821</v>
      </c>
      <c r="E92" s="13">
        <v>697</v>
      </c>
      <c r="F92" s="13">
        <v>1007</v>
      </c>
      <c r="G92" s="13">
        <v>860</v>
      </c>
      <c r="H92" s="13">
        <v>823</v>
      </c>
      <c r="I92" s="13">
        <v>757</v>
      </c>
      <c r="J92" s="13">
        <v>723</v>
      </c>
      <c r="K92" s="13">
        <v>626</v>
      </c>
      <c r="L92" s="13">
        <v>520</v>
      </c>
      <c r="M92" s="27">
        <v>531</v>
      </c>
      <c r="N92" s="27">
        <v>581</v>
      </c>
      <c r="O92" s="27">
        <v>454</v>
      </c>
      <c r="P92" s="15">
        <v>349</v>
      </c>
      <c r="Q92" s="15">
        <v>402</v>
      </c>
      <c r="R92" s="15">
        <v>941</v>
      </c>
      <c r="S92" s="15">
        <v>1005</v>
      </c>
      <c r="T92" s="15">
        <v>913</v>
      </c>
      <c r="U92" s="15">
        <v>835</v>
      </c>
      <c r="V92" s="15">
        <v>775</v>
      </c>
      <c r="W92" s="15">
        <v>761</v>
      </c>
      <c r="X92" s="15">
        <v>693</v>
      </c>
      <c r="Y92" s="15">
        <v>592</v>
      </c>
      <c r="Z92" s="15">
        <v>517</v>
      </c>
      <c r="AA92" s="15">
        <v>468</v>
      </c>
      <c r="AB92" s="15">
        <v>359</v>
      </c>
      <c r="AC92" s="15">
        <v>303</v>
      </c>
      <c r="AD92" s="15">
        <v>552</v>
      </c>
      <c r="AE92" s="15">
        <v>516</v>
      </c>
      <c r="AF92" s="15">
        <v>426</v>
      </c>
      <c r="AG92" s="15">
        <v>352</v>
      </c>
      <c r="AH92" s="15">
        <v>307</v>
      </c>
      <c r="AI92" s="15">
        <v>266</v>
      </c>
      <c r="AJ92" s="15">
        <v>2603</v>
      </c>
      <c r="AK92" s="15">
        <v>2703</v>
      </c>
      <c r="AL92" s="15">
        <v>2632</v>
      </c>
      <c r="AM92" s="15">
        <v>2680</v>
      </c>
      <c r="AN92" s="15">
        <v>2369.071516</v>
      </c>
      <c r="AO92" s="15">
        <v>2078</v>
      </c>
      <c r="AP92" s="15">
        <v>1762</v>
      </c>
      <c r="AQ92" s="15">
        <v>2152</v>
      </c>
      <c r="AR92" s="15">
        <v>1896.2166327940297</v>
      </c>
      <c r="AS92" s="102">
        <v>1480.2832100000001</v>
      </c>
      <c r="AT92" s="102">
        <v>1168.4163918841014</v>
      </c>
      <c r="AU92" s="102">
        <v>997.14742192940105</v>
      </c>
      <c r="AV92" s="102">
        <v>746.16047521756582</v>
      </c>
      <c r="AW92" s="102">
        <v>683.77791440652356</v>
      </c>
      <c r="AX92" s="3">
        <v>647.44553099999996</v>
      </c>
      <c r="AY92" s="3">
        <v>816.96547962556417</v>
      </c>
      <c r="AZ92" s="3">
        <v>590.47057847175734</v>
      </c>
      <c r="BA92" s="3">
        <v>475.30613737465671</v>
      </c>
      <c r="BB92" s="3">
        <v>412.77715703589109</v>
      </c>
      <c r="BC92" s="3">
        <v>446.27852923027314</v>
      </c>
    </row>
    <row r="93" spans="1:55" ht="15" customHeight="1" outlineLevel="1" x14ac:dyDescent="0.2">
      <c r="A93" s="64"/>
      <c r="B93" s="14" t="s">
        <v>15</v>
      </c>
      <c r="C93" s="13">
        <v>111</v>
      </c>
      <c r="D93" s="13">
        <v>122</v>
      </c>
      <c r="E93" s="13">
        <v>84</v>
      </c>
      <c r="F93" s="13">
        <v>91</v>
      </c>
      <c r="G93" s="13">
        <v>227</v>
      </c>
      <c r="H93" s="13">
        <v>194</v>
      </c>
      <c r="I93" s="13">
        <v>328</v>
      </c>
      <c r="J93" s="13">
        <v>552</v>
      </c>
      <c r="K93" s="13">
        <v>517</v>
      </c>
      <c r="L93" s="13">
        <v>483</v>
      </c>
      <c r="M93" s="27">
        <v>722</v>
      </c>
      <c r="N93" s="27">
        <v>697</v>
      </c>
      <c r="O93" s="27">
        <v>627</v>
      </c>
      <c r="P93" s="13">
        <v>524</v>
      </c>
      <c r="Q93" s="13">
        <v>493</v>
      </c>
      <c r="R93" s="13">
        <v>366</v>
      </c>
      <c r="S93" s="13">
        <v>373</v>
      </c>
      <c r="T93" s="13">
        <v>324</v>
      </c>
      <c r="U93" s="13">
        <v>796</v>
      </c>
      <c r="V93" s="13">
        <v>715</v>
      </c>
      <c r="W93" s="13">
        <v>556</v>
      </c>
      <c r="X93" s="13">
        <v>1692</v>
      </c>
      <c r="Y93" s="13">
        <v>1546</v>
      </c>
      <c r="Z93" s="13">
        <v>1565</v>
      </c>
      <c r="AA93" s="15">
        <v>1350</v>
      </c>
      <c r="AB93" s="15">
        <v>1229</v>
      </c>
      <c r="AC93" s="15">
        <v>1112</v>
      </c>
      <c r="AD93" s="15">
        <v>947</v>
      </c>
      <c r="AE93" s="15">
        <v>823</v>
      </c>
      <c r="AF93" s="15">
        <v>711</v>
      </c>
      <c r="AG93" s="15">
        <v>573</v>
      </c>
      <c r="AH93" s="15">
        <v>446</v>
      </c>
      <c r="AI93" s="15">
        <v>425</v>
      </c>
      <c r="AJ93" s="15">
        <v>286</v>
      </c>
      <c r="AK93" s="15">
        <v>376</v>
      </c>
      <c r="AL93" s="15">
        <v>313</v>
      </c>
      <c r="AM93" s="15">
        <v>252</v>
      </c>
      <c r="AN93" s="15">
        <v>472.17139100000003</v>
      </c>
      <c r="AO93" s="15">
        <v>463</v>
      </c>
      <c r="AP93" s="15">
        <v>430</v>
      </c>
      <c r="AQ93" s="15">
        <v>579</v>
      </c>
      <c r="AR93" s="15">
        <v>584.25732059351992</v>
      </c>
      <c r="AS93" s="102">
        <v>542.79300699999999</v>
      </c>
      <c r="AT93" s="102">
        <v>486.21589834556244</v>
      </c>
      <c r="AU93" s="102">
        <v>627.52118041248775</v>
      </c>
      <c r="AV93" s="102">
        <v>806.09684521865097</v>
      </c>
      <c r="AW93" s="102">
        <v>684.05258140278647</v>
      </c>
      <c r="AX93" s="3">
        <v>756.46738500000004</v>
      </c>
      <c r="AY93" s="3">
        <v>682.72140100000001</v>
      </c>
      <c r="AZ93" s="3">
        <v>760.89917751251778</v>
      </c>
      <c r="BA93" s="3">
        <v>1115.0448764207345</v>
      </c>
      <c r="BB93" s="3">
        <v>1059.9361045336721</v>
      </c>
      <c r="BC93" s="3">
        <v>962.46446053326349</v>
      </c>
    </row>
    <row r="94" spans="1:55" ht="15" customHeight="1" outlineLevel="1" x14ac:dyDescent="0.2">
      <c r="A94" s="64"/>
      <c r="B94" s="14" t="s">
        <v>17</v>
      </c>
      <c r="C94" s="13">
        <v>333</v>
      </c>
      <c r="D94" s="13">
        <v>299</v>
      </c>
      <c r="E94" s="13">
        <v>270</v>
      </c>
      <c r="F94" s="13">
        <v>251</v>
      </c>
      <c r="G94" s="13">
        <v>220</v>
      </c>
      <c r="H94" s="13">
        <v>194</v>
      </c>
      <c r="I94" s="13">
        <v>168</v>
      </c>
      <c r="J94" s="13">
        <v>193</v>
      </c>
      <c r="K94" s="13">
        <v>227</v>
      </c>
      <c r="L94" s="13">
        <v>789</v>
      </c>
      <c r="M94" s="27">
        <v>743</v>
      </c>
      <c r="N94" s="27">
        <v>710</v>
      </c>
      <c r="O94" s="27">
        <v>674</v>
      </c>
      <c r="P94" s="15">
        <v>577</v>
      </c>
      <c r="Q94" s="15">
        <v>492</v>
      </c>
      <c r="R94" s="15">
        <v>475</v>
      </c>
      <c r="S94" s="15">
        <v>398</v>
      </c>
      <c r="T94" s="15">
        <v>353</v>
      </c>
      <c r="U94" s="15">
        <v>255</v>
      </c>
      <c r="V94" s="15">
        <v>189</v>
      </c>
      <c r="W94" s="15">
        <v>164</v>
      </c>
      <c r="X94" s="15">
        <v>139</v>
      </c>
      <c r="Y94" s="15">
        <v>141</v>
      </c>
      <c r="Z94" s="15">
        <v>137</v>
      </c>
      <c r="AA94" s="15">
        <v>132</v>
      </c>
      <c r="AB94" s="15">
        <v>31</v>
      </c>
      <c r="AC94" s="15">
        <v>24</v>
      </c>
      <c r="AD94" s="15">
        <v>3</v>
      </c>
      <c r="AE94" s="15">
        <v>2</v>
      </c>
      <c r="AF94" s="15">
        <v>2</v>
      </c>
      <c r="AG94" s="15">
        <v>1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02">
        <v>0</v>
      </c>
      <c r="AT94" s="102">
        <v>0</v>
      </c>
      <c r="AU94" s="102">
        <v>0</v>
      </c>
      <c r="AV94" s="102">
        <v>0</v>
      </c>
      <c r="AW94" s="102">
        <v>0</v>
      </c>
      <c r="AX94" s="102">
        <v>0</v>
      </c>
      <c r="AY94" s="102">
        <v>0</v>
      </c>
      <c r="AZ94" s="102">
        <v>0</v>
      </c>
      <c r="BA94" s="102">
        <v>0</v>
      </c>
      <c r="BB94" s="102">
        <v>0</v>
      </c>
      <c r="BC94" s="102">
        <v>0</v>
      </c>
    </row>
    <row r="95" spans="1:55" ht="15" customHeight="1" outlineLevel="1" x14ac:dyDescent="0.2">
      <c r="A95" s="64"/>
      <c r="B95" s="16" t="s">
        <v>16</v>
      </c>
      <c r="C95" s="19">
        <v>17</v>
      </c>
      <c r="D95" s="19">
        <v>16</v>
      </c>
      <c r="E95" s="19">
        <v>10</v>
      </c>
      <c r="F95" s="19">
        <v>12</v>
      </c>
      <c r="G95" s="19">
        <v>16</v>
      </c>
      <c r="H95" s="19">
        <v>14</v>
      </c>
      <c r="I95" s="19">
        <v>13</v>
      </c>
      <c r="J95" s="19">
        <v>10</v>
      </c>
      <c r="K95" s="19">
        <v>7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</row>
    <row r="96" spans="1:55" ht="14.1" customHeight="1" outlineLevel="1" x14ac:dyDescent="0.2">
      <c r="A96" s="64"/>
      <c r="B96" s="18" t="s">
        <v>22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39"/>
    </row>
    <row r="97" spans="1:55" ht="14.1" customHeight="1" outlineLevel="1" x14ac:dyDescent="0.2">
      <c r="A97" s="64"/>
      <c r="B97" s="12" t="s">
        <v>18</v>
      </c>
      <c r="C97" s="27">
        <v>575</v>
      </c>
      <c r="D97" s="27">
        <v>597</v>
      </c>
      <c r="E97" s="27">
        <v>516</v>
      </c>
      <c r="F97" s="27">
        <v>466</v>
      </c>
      <c r="G97" s="27">
        <v>392</v>
      </c>
      <c r="H97" s="27">
        <v>396</v>
      </c>
      <c r="I97" s="27">
        <v>355</v>
      </c>
      <c r="J97" s="27">
        <v>315</v>
      </c>
      <c r="K97" s="27">
        <v>277</v>
      </c>
      <c r="L97" s="27">
        <v>208</v>
      </c>
      <c r="M97" s="13">
        <v>261</v>
      </c>
      <c r="N97" s="13">
        <v>362</v>
      </c>
      <c r="O97" s="13">
        <v>271</v>
      </c>
      <c r="P97" s="13">
        <v>182</v>
      </c>
      <c r="Q97" s="13">
        <v>161</v>
      </c>
      <c r="R97" s="13">
        <v>746</v>
      </c>
      <c r="S97" s="13">
        <v>712</v>
      </c>
      <c r="T97" s="13">
        <v>702</v>
      </c>
      <c r="U97" s="13">
        <v>683</v>
      </c>
      <c r="V97" s="13">
        <v>633</v>
      </c>
      <c r="W97" s="13">
        <v>600</v>
      </c>
      <c r="X97" s="13">
        <v>558</v>
      </c>
      <c r="Y97" s="13">
        <v>501</v>
      </c>
      <c r="Z97" s="13">
        <v>450</v>
      </c>
      <c r="AA97" s="13">
        <v>421</v>
      </c>
      <c r="AB97" s="13">
        <v>319</v>
      </c>
      <c r="AC97" s="13">
        <v>269</v>
      </c>
      <c r="AD97" s="13">
        <v>526</v>
      </c>
      <c r="AE97" s="13">
        <v>496</v>
      </c>
      <c r="AF97" s="13">
        <v>402</v>
      </c>
      <c r="AG97" s="13">
        <v>352</v>
      </c>
      <c r="AH97" s="13">
        <v>442</v>
      </c>
      <c r="AI97" s="13">
        <v>402</v>
      </c>
      <c r="AJ97" s="13">
        <v>2409</v>
      </c>
      <c r="AK97" s="13">
        <v>2287</v>
      </c>
      <c r="AL97" s="13">
        <v>2227</v>
      </c>
      <c r="AM97" s="13">
        <v>2279</v>
      </c>
      <c r="AN97" s="13">
        <v>1962.0526689999999</v>
      </c>
      <c r="AO97" s="13">
        <v>1678</v>
      </c>
      <c r="AP97" s="13">
        <v>1367</v>
      </c>
      <c r="AQ97" s="13">
        <v>1159</v>
      </c>
      <c r="AR97" s="13">
        <v>1035.9878732419199</v>
      </c>
      <c r="AS97" s="3">
        <v>680.24648500000001</v>
      </c>
      <c r="AT97" s="3">
        <v>448.86398846532006</v>
      </c>
      <c r="AU97" s="3">
        <v>348.08236748933939</v>
      </c>
      <c r="AV97" s="3">
        <v>172.97718506997003</v>
      </c>
      <c r="AW97" s="3">
        <v>204.0264221564191</v>
      </c>
      <c r="AX97" s="3">
        <v>229.93423899999999</v>
      </c>
      <c r="AY97" s="3">
        <v>423.37903162556421</v>
      </c>
      <c r="AZ97" s="3">
        <v>339.00492941977473</v>
      </c>
      <c r="BA97" s="3">
        <v>300.74278521485036</v>
      </c>
      <c r="BB97" s="3">
        <v>277.43137085439179</v>
      </c>
      <c r="BC97" s="3">
        <v>231.01717992491484</v>
      </c>
    </row>
    <row r="98" spans="1:55" ht="14.1" customHeight="1" outlineLevel="1" x14ac:dyDescent="0.2">
      <c r="A98" s="64"/>
      <c r="B98" s="12" t="s">
        <v>19</v>
      </c>
      <c r="C98" s="27">
        <v>288</v>
      </c>
      <c r="D98" s="27">
        <v>286</v>
      </c>
      <c r="E98" s="27">
        <v>256</v>
      </c>
      <c r="F98" s="27">
        <v>241</v>
      </c>
      <c r="G98" s="27">
        <v>213</v>
      </c>
      <c r="H98" s="27">
        <v>191</v>
      </c>
      <c r="I98" s="27">
        <v>175</v>
      </c>
      <c r="J98" s="27">
        <v>155</v>
      </c>
      <c r="K98" s="27">
        <v>174</v>
      </c>
      <c r="L98" s="27">
        <v>587</v>
      </c>
      <c r="M98" s="13">
        <v>544</v>
      </c>
      <c r="N98" s="13">
        <v>540</v>
      </c>
      <c r="O98" s="13">
        <v>525</v>
      </c>
      <c r="P98" s="13">
        <v>475</v>
      </c>
      <c r="Q98" s="13">
        <v>409</v>
      </c>
      <c r="R98" s="13">
        <v>420</v>
      </c>
      <c r="S98" s="13">
        <v>368</v>
      </c>
      <c r="T98" s="13">
        <v>320</v>
      </c>
      <c r="U98" s="13">
        <v>237</v>
      </c>
      <c r="V98" s="13">
        <v>198</v>
      </c>
      <c r="W98" s="13">
        <v>306</v>
      </c>
      <c r="X98" s="13">
        <v>276</v>
      </c>
      <c r="Y98" s="13">
        <v>275</v>
      </c>
      <c r="Z98" s="13">
        <v>261</v>
      </c>
      <c r="AA98" s="13">
        <v>246</v>
      </c>
      <c r="AB98" s="13">
        <v>699</v>
      </c>
      <c r="AC98" s="13">
        <v>691</v>
      </c>
      <c r="AD98" s="13">
        <v>677</v>
      </c>
      <c r="AE98" s="13">
        <v>610</v>
      </c>
      <c r="AF98" s="13">
        <v>564</v>
      </c>
      <c r="AG98" s="13">
        <v>520</v>
      </c>
      <c r="AH98" s="13">
        <v>913</v>
      </c>
      <c r="AI98" s="13">
        <v>814</v>
      </c>
      <c r="AJ98" s="13">
        <v>966</v>
      </c>
      <c r="AK98" s="13">
        <v>873</v>
      </c>
      <c r="AL98" s="13">
        <v>793</v>
      </c>
      <c r="AM98" s="13">
        <v>697</v>
      </c>
      <c r="AN98" s="13">
        <v>561.45122100000003</v>
      </c>
      <c r="AO98" s="13">
        <v>484</v>
      </c>
      <c r="AP98" s="13">
        <v>409</v>
      </c>
      <c r="AQ98" s="13">
        <v>947</v>
      </c>
      <c r="AR98" s="13">
        <v>847.50842496906262</v>
      </c>
      <c r="AS98" s="3">
        <v>778.15730499999995</v>
      </c>
      <c r="AT98" s="3">
        <v>675.6716231811979</v>
      </c>
      <c r="AU98" s="3">
        <v>622.19156282549704</v>
      </c>
      <c r="AV98" s="3">
        <v>820.47962764590841</v>
      </c>
      <c r="AW98" s="3">
        <v>639.40617834302043</v>
      </c>
      <c r="AX98" s="3">
        <v>597.51828999999998</v>
      </c>
      <c r="AY98" s="3">
        <v>561.27436</v>
      </c>
      <c r="AZ98" s="3">
        <v>371.04052614029644</v>
      </c>
      <c r="BA98" s="3">
        <v>296.04625726441668</v>
      </c>
      <c r="BB98" s="3">
        <v>275.65935766044913</v>
      </c>
      <c r="BC98" s="3">
        <v>356.92235435262131</v>
      </c>
    </row>
    <row r="99" spans="1:55" ht="14.1" customHeight="1" outlineLevel="1" x14ac:dyDescent="0.2">
      <c r="A99" s="64"/>
      <c r="B99" s="12" t="s">
        <v>20</v>
      </c>
      <c r="C99" s="27">
        <v>432</v>
      </c>
      <c r="D99" s="27">
        <v>379</v>
      </c>
      <c r="E99" s="27">
        <v>296</v>
      </c>
      <c r="F99" s="27">
        <v>655</v>
      </c>
      <c r="G99" s="27">
        <v>616</v>
      </c>
      <c r="H99" s="27">
        <v>551</v>
      </c>
      <c r="I99" s="27">
        <v>657</v>
      </c>
      <c r="J99" s="27">
        <v>699</v>
      </c>
      <c r="K99" s="27">
        <v>623</v>
      </c>
      <c r="L99" s="27">
        <v>722</v>
      </c>
      <c r="M99" s="13">
        <v>921</v>
      </c>
      <c r="N99" s="13">
        <v>857</v>
      </c>
      <c r="O99" s="13">
        <v>705</v>
      </c>
      <c r="P99" s="13">
        <v>1079</v>
      </c>
      <c r="Q99" s="13">
        <v>1072</v>
      </c>
      <c r="R99" s="13">
        <v>869</v>
      </c>
      <c r="S99" s="13">
        <v>1042</v>
      </c>
      <c r="T99" s="13">
        <v>933</v>
      </c>
      <c r="U99" s="13">
        <v>758</v>
      </c>
      <c r="V99" s="13">
        <v>642</v>
      </c>
      <c r="W99" s="13">
        <v>578</v>
      </c>
      <c r="X99" s="13">
        <v>1610</v>
      </c>
      <c r="Y99" s="13">
        <v>1415</v>
      </c>
      <c r="Z99" s="13">
        <v>1453</v>
      </c>
      <c r="AA99" s="13">
        <v>1264</v>
      </c>
      <c r="AB99" s="13">
        <v>1169</v>
      </c>
      <c r="AC99" s="13">
        <v>1107</v>
      </c>
      <c r="AD99" s="13">
        <v>966</v>
      </c>
      <c r="AE99" s="13">
        <v>841</v>
      </c>
      <c r="AF99" s="13">
        <v>693</v>
      </c>
      <c r="AG99" s="13">
        <v>989</v>
      </c>
      <c r="AH99" s="13">
        <v>418</v>
      </c>
      <c r="AI99" s="13">
        <v>292</v>
      </c>
      <c r="AJ99" s="13">
        <v>190</v>
      </c>
      <c r="AK99" s="13">
        <v>373</v>
      </c>
      <c r="AL99" s="13">
        <v>279</v>
      </c>
      <c r="AM99" s="13">
        <v>311</v>
      </c>
      <c r="AN99" s="13">
        <v>593.88672799999995</v>
      </c>
      <c r="AO99" s="13">
        <v>607</v>
      </c>
      <c r="AP99" s="13">
        <v>537</v>
      </c>
      <c r="AQ99" s="13">
        <v>666</v>
      </c>
      <c r="AR99" s="13">
        <v>572.55498347349237</v>
      </c>
      <c r="AS99" s="3">
        <v>542.490455</v>
      </c>
      <c r="AT99" s="3">
        <v>496.72291507126914</v>
      </c>
      <c r="AU99" s="3">
        <v>614.91473310345975</v>
      </c>
      <c r="AV99" s="3">
        <v>587.4519738773264</v>
      </c>
      <c r="AW99" s="3">
        <v>485.36957643639181</v>
      </c>
      <c r="AX99" s="3">
        <v>552.64260717513469</v>
      </c>
      <c r="AY99" s="3">
        <v>505.36905000000002</v>
      </c>
      <c r="AZ99" s="3">
        <v>651.70246856229028</v>
      </c>
      <c r="BA99" s="3">
        <v>750.18627897450574</v>
      </c>
      <c r="BB99" s="3">
        <v>674.80535583793539</v>
      </c>
      <c r="BC99" s="3">
        <v>603.03281360021731</v>
      </c>
    </row>
    <row r="100" spans="1:55" ht="14.1" customHeight="1" outlineLevel="1" x14ac:dyDescent="0.2">
      <c r="A100" s="64"/>
      <c r="B100" s="12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7">
        <v>235</v>
      </c>
      <c r="K100" s="27">
        <v>235</v>
      </c>
      <c r="L100" s="27">
        <v>230</v>
      </c>
      <c r="M100" s="13">
        <v>229</v>
      </c>
      <c r="N100" s="13">
        <v>240</v>
      </c>
      <c r="O100" s="13">
        <v>237</v>
      </c>
      <c r="P100" s="13">
        <v>215</v>
      </c>
      <c r="Q100" s="13">
        <v>214</v>
      </c>
      <c r="R100" s="13">
        <v>192</v>
      </c>
      <c r="S100" s="13">
        <v>179</v>
      </c>
      <c r="T100" s="13">
        <v>168</v>
      </c>
      <c r="U100" s="13">
        <v>700</v>
      </c>
      <c r="V100" s="13">
        <v>641</v>
      </c>
      <c r="W100" s="13">
        <v>496</v>
      </c>
      <c r="X100" s="13">
        <v>514</v>
      </c>
      <c r="Y100" s="13">
        <v>405</v>
      </c>
      <c r="Z100" s="13">
        <v>338</v>
      </c>
      <c r="AA100" s="13">
        <v>237</v>
      </c>
      <c r="AB100" s="13">
        <v>161</v>
      </c>
      <c r="AC100" s="13">
        <v>106</v>
      </c>
      <c r="AD100" s="13">
        <v>49</v>
      </c>
      <c r="AE100" s="13">
        <v>43</v>
      </c>
      <c r="AF100" s="13">
        <v>43</v>
      </c>
      <c r="AG100" s="13">
        <v>44</v>
      </c>
      <c r="AH100" s="13">
        <v>45</v>
      </c>
      <c r="AI100" s="13">
        <v>145</v>
      </c>
      <c r="AJ100" s="13">
        <v>105</v>
      </c>
      <c r="AK100" s="13">
        <v>276</v>
      </c>
      <c r="AL100" s="13">
        <v>304</v>
      </c>
      <c r="AM100" s="13">
        <v>284</v>
      </c>
      <c r="AN100" s="13">
        <v>301.37113099999999</v>
      </c>
      <c r="AO100" s="13">
        <v>314</v>
      </c>
      <c r="AP100" s="13">
        <v>293</v>
      </c>
      <c r="AQ100" s="13">
        <v>269</v>
      </c>
      <c r="AR100" s="13">
        <v>290.56916673822218</v>
      </c>
      <c r="AS100" s="3">
        <v>259.834585</v>
      </c>
      <c r="AT100" s="3">
        <v>224.81926763870752</v>
      </c>
      <c r="AU100" s="3">
        <v>193.98075243735667</v>
      </c>
      <c r="AV100" s="3">
        <v>134.1679828240531</v>
      </c>
      <c r="AW100" s="3">
        <v>118.63252250014645</v>
      </c>
      <c r="AX100" s="3">
        <v>110.734025</v>
      </c>
      <c r="AY100" s="3">
        <v>89.112222000000003</v>
      </c>
      <c r="AZ100" s="3">
        <v>41.602242424793154</v>
      </c>
      <c r="BA100" s="3">
        <v>288.28967753849486</v>
      </c>
      <c r="BB100" s="3">
        <v>278.38461692883322</v>
      </c>
      <c r="BC100" s="3">
        <v>269.28537852257131</v>
      </c>
    </row>
    <row r="101" spans="1:55" ht="14.1" customHeight="1" outlineLevel="1" x14ac:dyDescent="0.2">
      <c r="A101" s="64"/>
      <c r="B101" s="78" t="s">
        <v>115</v>
      </c>
      <c r="C101" s="13">
        <v>0</v>
      </c>
      <c r="D101" s="13">
        <v>0</v>
      </c>
      <c r="E101" s="27">
        <v>7</v>
      </c>
      <c r="F101" s="27">
        <v>7</v>
      </c>
      <c r="G101" s="27">
        <v>6</v>
      </c>
      <c r="H101" s="27">
        <v>3</v>
      </c>
      <c r="I101" s="27">
        <v>4</v>
      </c>
      <c r="J101" s="27">
        <v>7</v>
      </c>
      <c r="K101" s="27">
        <v>7</v>
      </c>
      <c r="L101" s="27">
        <v>9</v>
      </c>
      <c r="M101" s="13">
        <v>17</v>
      </c>
      <c r="N101" s="13">
        <v>19</v>
      </c>
      <c r="O101" s="13">
        <v>29</v>
      </c>
      <c r="P101" s="13">
        <v>21</v>
      </c>
      <c r="Q101" s="13">
        <v>4</v>
      </c>
      <c r="R101" s="13">
        <v>2</v>
      </c>
      <c r="S101" s="13">
        <v>17</v>
      </c>
      <c r="T101" s="13">
        <v>12</v>
      </c>
      <c r="U101" s="13">
        <v>7</v>
      </c>
      <c r="V101" s="13">
        <v>0</v>
      </c>
      <c r="W101" s="13">
        <v>13</v>
      </c>
      <c r="X101" s="13">
        <v>40</v>
      </c>
      <c r="Y101" s="13">
        <v>40</v>
      </c>
      <c r="Z101" s="13">
        <v>29</v>
      </c>
      <c r="AA101" s="13">
        <v>41</v>
      </c>
      <c r="AB101" s="13">
        <v>25</v>
      </c>
      <c r="AC101" s="13">
        <v>26</v>
      </c>
      <c r="AD101" s="13">
        <v>21</v>
      </c>
      <c r="AE101" s="13">
        <v>14</v>
      </c>
      <c r="AF101" s="13">
        <v>8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</row>
    <row r="102" spans="1:55" ht="14.1" customHeight="1" outlineLevel="1" x14ac:dyDescent="0.2">
      <c r="A102" s="64"/>
      <c r="B102" s="78" t="s">
        <v>118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26</v>
      </c>
      <c r="R102" s="13">
        <v>24</v>
      </c>
      <c r="S102" s="13">
        <v>14</v>
      </c>
      <c r="T102" s="13">
        <v>11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</row>
    <row r="103" spans="1:55" ht="14.1" customHeight="1" outlineLevel="1" x14ac:dyDescent="0.2">
      <c r="A103" s="64"/>
      <c r="B103" s="78" t="s">
        <v>117</v>
      </c>
      <c r="C103" s="27">
        <v>66</v>
      </c>
      <c r="D103" s="27">
        <v>55</v>
      </c>
      <c r="E103" s="27">
        <v>48</v>
      </c>
      <c r="F103" s="27">
        <v>40</v>
      </c>
      <c r="G103" s="27">
        <v>38</v>
      </c>
      <c r="H103" s="27">
        <v>21</v>
      </c>
      <c r="I103" s="27">
        <v>17</v>
      </c>
      <c r="J103" s="27">
        <v>25</v>
      </c>
      <c r="K103" s="27">
        <v>21</v>
      </c>
      <c r="L103" s="27">
        <v>17</v>
      </c>
      <c r="M103" s="13">
        <v>14</v>
      </c>
      <c r="N103" s="13">
        <v>12</v>
      </c>
      <c r="O103" s="13">
        <v>7</v>
      </c>
      <c r="P103" s="13">
        <v>7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</row>
    <row r="104" spans="1:55" ht="14.1" customHeight="1" outlineLevel="1" x14ac:dyDescent="0.2">
      <c r="A104" s="64"/>
      <c r="B104" s="79" t="s">
        <v>116</v>
      </c>
      <c r="C104" s="29">
        <v>17</v>
      </c>
      <c r="D104" s="29">
        <v>16</v>
      </c>
      <c r="E104" s="29">
        <v>10</v>
      </c>
      <c r="F104" s="29">
        <v>12</v>
      </c>
      <c r="G104" s="29">
        <v>102</v>
      </c>
      <c r="H104" s="29">
        <v>97</v>
      </c>
      <c r="I104" s="29">
        <v>88</v>
      </c>
      <c r="J104" s="29">
        <v>84</v>
      </c>
      <c r="K104" s="29">
        <v>74</v>
      </c>
      <c r="L104" s="29">
        <v>56</v>
      </c>
      <c r="M104" s="19">
        <v>47</v>
      </c>
      <c r="N104" s="19">
        <v>37</v>
      </c>
      <c r="O104" s="19">
        <v>36</v>
      </c>
      <c r="P104" s="19">
        <v>26</v>
      </c>
      <c r="Q104" s="19">
        <v>18</v>
      </c>
      <c r="R104" s="19">
        <v>12</v>
      </c>
      <c r="S104" s="19">
        <v>7</v>
      </c>
      <c r="T104" s="19">
        <v>4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</row>
    <row r="105" spans="1:55" outlineLevel="1" x14ac:dyDescent="0.2">
      <c r="A105" s="64"/>
      <c r="B105" s="76" t="s">
        <v>202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1:55" ht="14.1" customHeight="1" outlineLevel="1" x14ac:dyDescent="0.2">
      <c r="A106" s="64"/>
      <c r="B106" s="22" t="s">
        <v>73</v>
      </c>
      <c r="C106" s="23">
        <f t="shared" ref="C106:AP106" si="68">+C108+C109+C111</f>
        <v>1110.3119999999999</v>
      </c>
      <c r="D106" s="23">
        <f t="shared" si="68"/>
        <v>1403.2529999999999</v>
      </c>
      <c r="E106" s="23">
        <f t="shared" si="68"/>
        <v>548.07899999999995</v>
      </c>
      <c r="F106" s="23">
        <f t="shared" si="68"/>
        <v>800.279</v>
      </c>
      <c r="G106" s="23">
        <f t="shared" si="68"/>
        <v>1205.654</v>
      </c>
      <c r="H106" s="23">
        <f t="shared" si="68"/>
        <v>1579.4090000000001</v>
      </c>
      <c r="I106" s="23">
        <f t="shared" si="68"/>
        <v>661.56600000000003</v>
      </c>
      <c r="J106" s="23">
        <f t="shared" si="68"/>
        <v>991.02599999999995</v>
      </c>
      <c r="K106" s="23">
        <f t="shared" si="68"/>
        <v>1344.3009999999999</v>
      </c>
      <c r="L106" s="23">
        <f t="shared" si="68"/>
        <v>1743.001</v>
      </c>
      <c r="M106" s="23">
        <f t="shared" si="68"/>
        <v>604.26</v>
      </c>
      <c r="N106" s="23">
        <f t="shared" si="68"/>
        <v>947.06</v>
      </c>
      <c r="O106" s="23">
        <f t="shared" si="68"/>
        <v>1231.4100000000001</v>
      </c>
      <c r="P106" s="23">
        <f t="shared" si="68"/>
        <v>1499.461</v>
      </c>
      <c r="Q106" s="23">
        <f t="shared" si="68"/>
        <v>592.15</v>
      </c>
      <c r="R106" s="23">
        <f t="shared" si="68"/>
        <v>975.02499999999998</v>
      </c>
      <c r="S106" s="23">
        <f t="shared" si="68"/>
        <v>1242.2750000000001</v>
      </c>
      <c r="T106" s="23">
        <f t="shared" si="68"/>
        <v>1628.2750000000001</v>
      </c>
      <c r="U106" s="23">
        <f t="shared" si="68"/>
        <v>582.25</v>
      </c>
      <c r="V106" s="23">
        <f t="shared" si="68"/>
        <v>907.02499999999998</v>
      </c>
      <c r="W106" s="23">
        <f t="shared" si="68"/>
        <v>1200.5999999999999</v>
      </c>
      <c r="X106" s="23">
        <f t="shared" si="68"/>
        <v>1634.75</v>
      </c>
      <c r="Y106" s="23">
        <f t="shared" si="68"/>
        <v>599.97199999999998</v>
      </c>
      <c r="Z106" s="23">
        <f t="shared" si="68"/>
        <v>950.24699999999996</v>
      </c>
      <c r="AA106" s="23">
        <f t="shared" si="68"/>
        <v>1252.1189999999999</v>
      </c>
      <c r="AB106" s="23">
        <f t="shared" si="68"/>
        <v>1707.614</v>
      </c>
      <c r="AC106" s="23">
        <f t="shared" si="68"/>
        <v>634.11500000000001</v>
      </c>
      <c r="AD106" s="23">
        <f t="shared" si="68"/>
        <v>1009.21</v>
      </c>
      <c r="AE106" s="23">
        <f t="shared" si="68"/>
        <v>1234.26</v>
      </c>
      <c r="AF106" s="23">
        <f t="shared" si="68"/>
        <v>1506.96</v>
      </c>
      <c r="AG106" s="23">
        <f t="shared" si="68"/>
        <v>757</v>
      </c>
      <c r="AH106" s="23">
        <f t="shared" si="68"/>
        <v>1104.08</v>
      </c>
      <c r="AI106" s="23">
        <f t="shared" si="68"/>
        <v>1347.08</v>
      </c>
      <c r="AJ106" s="23">
        <f t="shared" si="68"/>
        <v>1750.23</v>
      </c>
      <c r="AK106" s="23">
        <f t="shared" si="68"/>
        <v>615</v>
      </c>
      <c r="AL106" s="23">
        <f t="shared" si="68"/>
        <v>1079</v>
      </c>
      <c r="AM106" s="23">
        <f t="shared" si="68"/>
        <v>1497</v>
      </c>
      <c r="AN106" s="23">
        <f t="shared" si="68"/>
        <v>1946</v>
      </c>
      <c r="AO106" s="23">
        <f t="shared" si="68"/>
        <v>621</v>
      </c>
      <c r="AP106" s="23">
        <f t="shared" si="68"/>
        <v>1081</v>
      </c>
      <c r="AQ106" s="23">
        <f t="shared" ref="AQ106:AR106" si="69">+AQ108+AQ109+AQ111</f>
        <v>1431</v>
      </c>
      <c r="AR106" s="23">
        <f t="shared" si="69"/>
        <v>1835</v>
      </c>
      <c r="AS106" s="23">
        <f t="shared" ref="AS106:BC106" si="70">+AS108+AS109+AS111+AS110</f>
        <v>754</v>
      </c>
      <c r="AT106" s="23">
        <f t="shared" si="70"/>
        <v>1283</v>
      </c>
      <c r="AU106" s="23">
        <f t="shared" si="70"/>
        <v>1636</v>
      </c>
      <c r="AV106" s="23">
        <f t="shared" si="70"/>
        <v>2094</v>
      </c>
      <c r="AW106" s="23">
        <f t="shared" si="70"/>
        <v>706</v>
      </c>
      <c r="AX106" s="23">
        <f t="shared" si="70"/>
        <v>1087</v>
      </c>
      <c r="AY106" s="23">
        <f t="shared" si="70"/>
        <v>1640</v>
      </c>
      <c r="AZ106" s="23">
        <f t="shared" si="70"/>
        <v>2181</v>
      </c>
      <c r="BA106" s="23">
        <f t="shared" si="70"/>
        <v>618</v>
      </c>
      <c r="BB106" s="23">
        <f t="shared" si="70"/>
        <v>1133</v>
      </c>
      <c r="BC106" s="23">
        <f t="shared" si="70"/>
        <v>1483</v>
      </c>
    </row>
    <row r="107" spans="1:55" ht="14.1" customHeight="1" outlineLevel="1" x14ac:dyDescent="0.2">
      <c r="A107" s="64"/>
      <c r="B107" s="67" t="s">
        <v>25</v>
      </c>
      <c r="C107" s="13">
        <f t="shared" ref="C107:AJ107" si="71">SUM(C108:C109)</f>
        <v>1086</v>
      </c>
      <c r="D107" s="13">
        <f t="shared" si="71"/>
        <v>1377</v>
      </c>
      <c r="E107" s="13">
        <f t="shared" si="71"/>
        <v>545</v>
      </c>
      <c r="F107" s="13">
        <f t="shared" si="71"/>
        <v>797</v>
      </c>
      <c r="G107" s="13">
        <f t="shared" si="71"/>
        <v>1202</v>
      </c>
      <c r="H107" s="13">
        <f t="shared" si="71"/>
        <v>1573</v>
      </c>
      <c r="I107" s="13">
        <f t="shared" si="71"/>
        <v>646</v>
      </c>
      <c r="J107" s="13">
        <f t="shared" si="71"/>
        <v>967</v>
      </c>
      <c r="K107" s="13">
        <f t="shared" si="71"/>
        <v>1310</v>
      </c>
      <c r="L107" s="13">
        <f t="shared" si="71"/>
        <v>1707</v>
      </c>
      <c r="M107" s="13">
        <f t="shared" si="71"/>
        <v>589</v>
      </c>
      <c r="N107" s="13">
        <f t="shared" si="71"/>
        <v>921</v>
      </c>
      <c r="O107" s="13">
        <f t="shared" si="71"/>
        <v>1205</v>
      </c>
      <c r="P107" s="13">
        <f t="shared" si="71"/>
        <v>1472</v>
      </c>
      <c r="Q107" s="13">
        <f t="shared" si="71"/>
        <v>592</v>
      </c>
      <c r="R107" s="13">
        <f t="shared" si="71"/>
        <v>959</v>
      </c>
      <c r="S107" s="13">
        <f t="shared" si="71"/>
        <v>1226</v>
      </c>
      <c r="T107" s="13">
        <f t="shared" si="71"/>
        <v>1612</v>
      </c>
      <c r="U107" s="13">
        <f t="shared" si="71"/>
        <v>582</v>
      </c>
      <c r="V107" s="13">
        <f t="shared" si="71"/>
        <v>897</v>
      </c>
      <c r="W107" s="13">
        <f t="shared" si="71"/>
        <v>1182</v>
      </c>
      <c r="X107" s="13">
        <f t="shared" si="71"/>
        <v>1614</v>
      </c>
      <c r="Y107" s="13">
        <f t="shared" si="71"/>
        <v>588</v>
      </c>
      <c r="Z107" s="13">
        <f t="shared" si="71"/>
        <v>935</v>
      </c>
      <c r="AA107" s="13">
        <f t="shared" si="71"/>
        <v>1231</v>
      </c>
      <c r="AB107" s="13">
        <f t="shared" si="71"/>
        <v>1684</v>
      </c>
      <c r="AC107" s="13">
        <f t="shared" si="71"/>
        <v>634</v>
      </c>
      <c r="AD107" s="13">
        <f t="shared" si="71"/>
        <v>1009</v>
      </c>
      <c r="AE107" s="13">
        <f t="shared" si="71"/>
        <v>1229</v>
      </c>
      <c r="AF107" s="13">
        <f t="shared" si="71"/>
        <v>1499</v>
      </c>
      <c r="AG107" s="13">
        <f t="shared" si="71"/>
        <v>757</v>
      </c>
      <c r="AH107" s="13">
        <f t="shared" si="71"/>
        <v>1104</v>
      </c>
      <c r="AI107" s="13">
        <f t="shared" si="71"/>
        <v>1347</v>
      </c>
      <c r="AJ107" s="13">
        <f t="shared" si="71"/>
        <v>1749</v>
      </c>
      <c r="AK107" s="13">
        <f>SUM(AK108:AK109)</f>
        <v>564</v>
      </c>
      <c r="AL107" s="13">
        <f t="shared" ref="AL107:AR107" si="72">SUM(AL108:AL109)</f>
        <v>949</v>
      </c>
      <c r="AM107" s="13">
        <f t="shared" si="72"/>
        <v>1268</v>
      </c>
      <c r="AN107" s="13">
        <f t="shared" si="72"/>
        <v>1673</v>
      </c>
      <c r="AO107" s="13">
        <f t="shared" si="72"/>
        <v>588</v>
      </c>
      <c r="AP107" s="13">
        <f t="shared" si="72"/>
        <v>978</v>
      </c>
      <c r="AQ107" s="13">
        <f t="shared" si="72"/>
        <v>1198</v>
      </c>
      <c r="AR107" s="13">
        <f t="shared" si="72"/>
        <v>1481</v>
      </c>
      <c r="AS107" s="107">
        <f>+AS108+AS109</f>
        <v>652</v>
      </c>
      <c r="AT107" s="107">
        <f>+AT108+AT109</f>
        <v>1101</v>
      </c>
      <c r="AU107" s="107">
        <f>+AU108+AU109</f>
        <v>1336</v>
      </c>
      <c r="AV107" s="107">
        <f>+AV108+AV109</f>
        <v>1751</v>
      </c>
      <c r="AW107" s="107">
        <f t="shared" ref="AW107:BC107" si="73">+AW108+AW109</f>
        <v>602</v>
      </c>
      <c r="AX107" s="107">
        <f t="shared" si="73"/>
        <v>912</v>
      </c>
      <c r="AY107" s="107">
        <f t="shared" si="73"/>
        <v>1264</v>
      </c>
      <c r="AZ107" s="107">
        <f t="shared" si="73"/>
        <v>1668</v>
      </c>
      <c r="BA107" s="107">
        <f t="shared" si="73"/>
        <v>533</v>
      </c>
      <c r="BB107" s="107">
        <f t="shared" si="73"/>
        <v>902</v>
      </c>
      <c r="BC107" s="107">
        <f t="shared" si="73"/>
        <v>1129</v>
      </c>
    </row>
    <row r="108" spans="1:55" ht="14.1" customHeight="1" outlineLevel="1" x14ac:dyDescent="0.2">
      <c r="A108" s="64"/>
      <c r="B108" s="24" t="s">
        <v>26</v>
      </c>
      <c r="C108" s="13">
        <v>1008</v>
      </c>
      <c r="D108" s="13">
        <v>1289</v>
      </c>
      <c r="E108" s="13">
        <v>503</v>
      </c>
      <c r="F108" s="13">
        <v>738</v>
      </c>
      <c r="G108" s="13">
        <v>1126</v>
      </c>
      <c r="H108" s="13">
        <v>1493</v>
      </c>
      <c r="I108" s="13">
        <v>563</v>
      </c>
      <c r="J108" s="13">
        <v>868</v>
      </c>
      <c r="K108" s="13">
        <v>1193</v>
      </c>
      <c r="L108" s="13">
        <v>1571</v>
      </c>
      <c r="M108" s="13">
        <v>563</v>
      </c>
      <c r="N108" s="13">
        <v>888</v>
      </c>
      <c r="O108" s="13">
        <v>1150</v>
      </c>
      <c r="P108" s="13">
        <v>1408</v>
      </c>
      <c r="Q108" s="13">
        <v>571</v>
      </c>
      <c r="R108" s="13">
        <v>922</v>
      </c>
      <c r="S108" s="13">
        <v>1165</v>
      </c>
      <c r="T108" s="13">
        <v>1541</v>
      </c>
      <c r="U108" s="13">
        <v>550</v>
      </c>
      <c r="V108" s="13">
        <v>857</v>
      </c>
      <c r="W108" s="13">
        <v>1105</v>
      </c>
      <c r="X108" s="13">
        <v>1523</v>
      </c>
      <c r="Y108" s="13">
        <v>517</v>
      </c>
      <c r="Z108" s="13">
        <v>859</v>
      </c>
      <c r="AA108" s="13">
        <v>1111</v>
      </c>
      <c r="AB108" s="13">
        <v>1542</v>
      </c>
      <c r="AC108" s="13">
        <v>592</v>
      </c>
      <c r="AD108" s="13">
        <v>961</v>
      </c>
      <c r="AE108" s="13">
        <v>1175</v>
      </c>
      <c r="AF108" s="13">
        <v>1442</v>
      </c>
      <c r="AG108" s="13">
        <v>710</v>
      </c>
      <c r="AH108" s="13">
        <v>1044</v>
      </c>
      <c r="AI108" s="13">
        <v>1279</v>
      </c>
      <c r="AJ108" s="13">
        <v>1670</v>
      </c>
      <c r="AK108" s="13">
        <v>502</v>
      </c>
      <c r="AL108" s="13">
        <v>863</v>
      </c>
      <c r="AM108" s="13">
        <v>1136</v>
      </c>
      <c r="AN108" s="13">
        <v>1527</v>
      </c>
      <c r="AO108" s="13">
        <v>488</v>
      </c>
      <c r="AP108" s="13">
        <v>823</v>
      </c>
      <c r="AQ108" s="13">
        <v>1019</v>
      </c>
      <c r="AR108" s="13">
        <v>1273</v>
      </c>
      <c r="AS108" s="3">
        <v>527</v>
      </c>
      <c r="AT108" s="3">
        <v>916</v>
      </c>
      <c r="AU108" s="3">
        <v>1148</v>
      </c>
      <c r="AV108" s="3">
        <v>1523</v>
      </c>
      <c r="AW108" s="60">
        <v>537</v>
      </c>
      <c r="AX108" s="60">
        <v>840</v>
      </c>
      <c r="AY108" s="60">
        <v>1153</v>
      </c>
      <c r="AZ108" s="107">
        <v>1499</v>
      </c>
      <c r="BA108" s="60">
        <v>484</v>
      </c>
      <c r="BB108" s="60">
        <v>838</v>
      </c>
      <c r="BC108" s="3">
        <v>1047</v>
      </c>
    </row>
    <row r="109" spans="1:55" ht="14.1" customHeight="1" outlineLevel="1" x14ac:dyDescent="0.2">
      <c r="A109" s="64"/>
      <c r="B109" s="24" t="s">
        <v>27</v>
      </c>
      <c r="C109" s="13">
        <v>78</v>
      </c>
      <c r="D109" s="13">
        <v>88</v>
      </c>
      <c r="E109" s="13">
        <v>42</v>
      </c>
      <c r="F109" s="13">
        <v>59</v>
      </c>
      <c r="G109" s="13">
        <v>76</v>
      </c>
      <c r="H109" s="13">
        <v>80</v>
      </c>
      <c r="I109" s="13">
        <v>83</v>
      </c>
      <c r="J109" s="13">
        <v>99</v>
      </c>
      <c r="K109" s="13">
        <v>117</v>
      </c>
      <c r="L109" s="13">
        <v>136</v>
      </c>
      <c r="M109" s="13">
        <v>26</v>
      </c>
      <c r="N109" s="13">
        <v>33</v>
      </c>
      <c r="O109" s="13">
        <v>55</v>
      </c>
      <c r="P109" s="13">
        <v>64</v>
      </c>
      <c r="Q109" s="13">
        <v>21</v>
      </c>
      <c r="R109" s="13">
        <v>37</v>
      </c>
      <c r="S109" s="13">
        <v>61</v>
      </c>
      <c r="T109" s="13">
        <v>71</v>
      </c>
      <c r="U109" s="13">
        <v>32</v>
      </c>
      <c r="V109" s="13">
        <v>40</v>
      </c>
      <c r="W109" s="13">
        <v>77</v>
      </c>
      <c r="X109" s="13">
        <v>91</v>
      </c>
      <c r="Y109" s="13">
        <v>71</v>
      </c>
      <c r="Z109" s="13">
        <v>76</v>
      </c>
      <c r="AA109" s="13">
        <v>120</v>
      </c>
      <c r="AB109" s="13">
        <v>142</v>
      </c>
      <c r="AC109" s="13">
        <v>42</v>
      </c>
      <c r="AD109" s="13">
        <v>48</v>
      </c>
      <c r="AE109" s="13">
        <v>54</v>
      </c>
      <c r="AF109" s="13">
        <v>57</v>
      </c>
      <c r="AG109" s="13">
        <v>47</v>
      </c>
      <c r="AH109" s="13">
        <v>60</v>
      </c>
      <c r="AI109" s="13">
        <v>68</v>
      </c>
      <c r="AJ109" s="13">
        <v>79</v>
      </c>
      <c r="AK109" s="13">
        <v>62</v>
      </c>
      <c r="AL109" s="13">
        <v>86</v>
      </c>
      <c r="AM109" s="13">
        <v>132</v>
      </c>
      <c r="AN109" s="13">
        <v>146</v>
      </c>
      <c r="AO109" s="13">
        <v>100</v>
      </c>
      <c r="AP109" s="13">
        <v>155</v>
      </c>
      <c r="AQ109" s="13">
        <v>179</v>
      </c>
      <c r="AR109" s="13">
        <v>208</v>
      </c>
      <c r="AS109" s="3">
        <v>125</v>
      </c>
      <c r="AT109" s="3">
        <v>185</v>
      </c>
      <c r="AU109" s="3">
        <v>188</v>
      </c>
      <c r="AV109" s="3">
        <v>228</v>
      </c>
      <c r="AW109" s="60">
        <v>65</v>
      </c>
      <c r="AX109" s="60">
        <v>72</v>
      </c>
      <c r="AY109" s="60">
        <v>111</v>
      </c>
      <c r="AZ109" s="60">
        <v>169</v>
      </c>
      <c r="BA109" s="60">
        <v>49</v>
      </c>
      <c r="BB109" s="60">
        <v>64</v>
      </c>
      <c r="BC109" s="3">
        <v>82</v>
      </c>
    </row>
    <row r="110" spans="1:55" ht="14.1" customHeight="1" outlineLevel="1" x14ac:dyDescent="0.2">
      <c r="A110" s="64"/>
      <c r="B110" s="24" t="s">
        <v>198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3">
        <v>8</v>
      </c>
      <c r="AT110" s="3">
        <v>19</v>
      </c>
      <c r="AU110" s="3">
        <v>26</v>
      </c>
      <c r="AV110" s="60"/>
      <c r="AW110" s="60">
        <v>18</v>
      </c>
      <c r="AX110" s="60">
        <v>29</v>
      </c>
      <c r="AY110" s="60">
        <v>43</v>
      </c>
      <c r="AZ110" s="60">
        <v>58</v>
      </c>
      <c r="BA110" s="60">
        <v>30</v>
      </c>
      <c r="BB110" s="60">
        <v>51</v>
      </c>
      <c r="BC110" s="3">
        <v>73</v>
      </c>
    </row>
    <row r="111" spans="1:55" ht="14.1" customHeight="1" outlineLevel="1" x14ac:dyDescent="0.2">
      <c r="A111" s="64"/>
      <c r="B111" s="68" t="s">
        <v>28</v>
      </c>
      <c r="C111" s="19">
        <v>24.312000000000001</v>
      </c>
      <c r="D111" s="19">
        <v>26.253</v>
      </c>
      <c r="E111" s="19">
        <v>3.0790000000000002</v>
      </c>
      <c r="F111" s="19">
        <v>3.2790000000000004</v>
      </c>
      <c r="G111" s="19">
        <v>3.6540000000000004</v>
      </c>
      <c r="H111" s="19">
        <v>6.4090000000000007</v>
      </c>
      <c r="I111" s="19">
        <v>15.566000000000001</v>
      </c>
      <c r="J111" s="19">
        <v>24.026000000000003</v>
      </c>
      <c r="K111" s="19">
        <v>34.301000000000002</v>
      </c>
      <c r="L111" s="19">
        <v>36.001000000000005</v>
      </c>
      <c r="M111" s="19">
        <v>15.26</v>
      </c>
      <c r="N111" s="19">
        <v>26.060000000000002</v>
      </c>
      <c r="O111" s="19">
        <v>26.410000000000004</v>
      </c>
      <c r="P111" s="19">
        <v>27.461000000000002</v>
      </c>
      <c r="Q111" s="19">
        <v>0.15</v>
      </c>
      <c r="R111" s="19">
        <v>16.024999999999999</v>
      </c>
      <c r="S111" s="19">
        <v>16.274999999999999</v>
      </c>
      <c r="T111" s="19">
        <v>16.274999999999999</v>
      </c>
      <c r="U111" s="19">
        <v>0.25</v>
      </c>
      <c r="V111" s="19">
        <v>10.025</v>
      </c>
      <c r="W111" s="19">
        <v>18.600000000000001</v>
      </c>
      <c r="X111" s="19">
        <v>20.75</v>
      </c>
      <c r="Y111" s="19">
        <v>11.972</v>
      </c>
      <c r="Z111" s="19">
        <v>15.247</v>
      </c>
      <c r="AA111" s="19">
        <v>21.119</v>
      </c>
      <c r="AB111" s="19">
        <v>23.614000000000001</v>
      </c>
      <c r="AC111" s="19">
        <v>0.115</v>
      </c>
      <c r="AD111" s="19">
        <v>0.21000000000000002</v>
      </c>
      <c r="AE111" s="19">
        <v>5.26</v>
      </c>
      <c r="AF111" s="19">
        <v>7.96</v>
      </c>
      <c r="AG111" s="19">
        <v>0</v>
      </c>
      <c r="AH111" s="19">
        <v>0.08</v>
      </c>
      <c r="AI111" s="19">
        <v>0.08</v>
      </c>
      <c r="AJ111" s="19">
        <v>1.23</v>
      </c>
      <c r="AK111" s="19">
        <v>51</v>
      </c>
      <c r="AL111" s="19">
        <v>130</v>
      </c>
      <c r="AM111" s="19">
        <v>229</v>
      </c>
      <c r="AN111" s="19">
        <v>273</v>
      </c>
      <c r="AO111" s="19">
        <v>33</v>
      </c>
      <c r="AP111" s="19">
        <v>103</v>
      </c>
      <c r="AQ111" s="19">
        <v>233</v>
      </c>
      <c r="AR111" s="19">
        <v>354</v>
      </c>
      <c r="AS111" s="19">
        <v>94</v>
      </c>
      <c r="AT111" s="19">
        <v>163</v>
      </c>
      <c r="AU111" s="19">
        <v>274</v>
      </c>
      <c r="AV111" s="19">
        <v>343</v>
      </c>
      <c r="AW111" s="19">
        <v>86</v>
      </c>
      <c r="AX111" s="19">
        <v>146</v>
      </c>
      <c r="AY111" s="19">
        <v>333</v>
      </c>
      <c r="AZ111" s="19">
        <v>455</v>
      </c>
      <c r="BA111" s="19">
        <v>55</v>
      </c>
      <c r="BB111" s="60">
        <v>180</v>
      </c>
      <c r="BC111" s="3">
        <v>281</v>
      </c>
    </row>
    <row r="112" spans="1:55" ht="14.1" customHeight="1" outlineLevel="1" x14ac:dyDescent="0.2">
      <c r="A112" s="64"/>
      <c r="B112" s="40" t="s">
        <v>29</v>
      </c>
      <c r="C112" s="99">
        <f t="shared" ref="C112:AY112" si="74">C118+C121+C124</f>
        <v>1077</v>
      </c>
      <c r="D112" s="99">
        <f t="shared" si="74"/>
        <v>1366</v>
      </c>
      <c r="E112" s="99">
        <f t="shared" si="74"/>
        <v>543</v>
      </c>
      <c r="F112" s="99">
        <f t="shared" si="74"/>
        <v>794</v>
      </c>
      <c r="G112" s="99">
        <f t="shared" si="74"/>
        <v>1196</v>
      </c>
      <c r="H112" s="99">
        <f t="shared" si="74"/>
        <v>1563</v>
      </c>
      <c r="I112" s="99">
        <f t="shared" si="74"/>
        <v>643</v>
      </c>
      <c r="J112" s="99">
        <f t="shared" si="74"/>
        <v>964</v>
      </c>
      <c r="K112" s="99">
        <f t="shared" si="74"/>
        <v>1307</v>
      </c>
      <c r="L112" s="99">
        <f t="shared" si="74"/>
        <v>1703</v>
      </c>
      <c r="M112" s="99">
        <f t="shared" si="74"/>
        <v>587</v>
      </c>
      <c r="N112" s="99">
        <f t="shared" si="74"/>
        <v>919</v>
      </c>
      <c r="O112" s="99">
        <f t="shared" si="74"/>
        <v>1202</v>
      </c>
      <c r="P112" s="99">
        <f t="shared" si="74"/>
        <v>1468</v>
      </c>
      <c r="Q112" s="99">
        <f t="shared" si="74"/>
        <v>591</v>
      </c>
      <c r="R112" s="99">
        <f t="shared" si="74"/>
        <v>958</v>
      </c>
      <c r="S112" s="99">
        <f t="shared" si="74"/>
        <v>1224</v>
      </c>
      <c r="T112" s="99">
        <f t="shared" si="74"/>
        <v>1609</v>
      </c>
      <c r="U112" s="99">
        <f t="shared" si="74"/>
        <v>580</v>
      </c>
      <c r="V112" s="99">
        <f t="shared" si="74"/>
        <v>895</v>
      </c>
      <c r="W112" s="99">
        <f t="shared" si="74"/>
        <v>1178</v>
      </c>
      <c r="X112" s="99">
        <f t="shared" si="74"/>
        <v>1609</v>
      </c>
      <c r="Y112" s="99">
        <f t="shared" si="74"/>
        <v>588</v>
      </c>
      <c r="Z112" s="99">
        <f t="shared" si="74"/>
        <v>935</v>
      </c>
      <c r="AA112" s="99">
        <f t="shared" si="74"/>
        <v>1231</v>
      </c>
      <c r="AB112" s="99">
        <f t="shared" si="74"/>
        <v>1684</v>
      </c>
      <c r="AC112" s="99">
        <f t="shared" si="74"/>
        <v>634</v>
      </c>
      <c r="AD112" s="99">
        <f t="shared" si="74"/>
        <v>1009</v>
      </c>
      <c r="AE112" s="99">
        <f t="shared" si="74"/>
        <v>1229</v>
      </c>
      <c r="AF112" s="99">
        <f t="shared" si="74"/>
        <v>1499</v>
      </c>
      <c r="AG112" s="99">
        <f t="shared" si="74"/>
        <v>757</v>
      </c>
      <c r="AH112" s="99">
        <f t="shared" si="74"/>
        <v>1104</v>
      </c>
      <c r="AI112" s="99">
        <f t="shared" si="74"/>
        <v>1346</v>
      </c>
      <c r="AJ112" s="99">
        <f t="shared" si="74"/>
        <v>1747</v>
      </c>
      <c r="AK112" s="99">
        <f t="shared" si="74"/>
        <v>563</v>
      </c>
      <c r="AL112" s="99">
        <f t="shared" si="74"/>
        <v>947</v>
      </c>
      <c r="AM112" s="99">
        <f t="shared" si="74"/>
        <v>1268</v>
      </c>
      <c r="AN112" s="99">
        <f t="shared" si="74"/>
        <v>1675</v>
      </c>
      <c r="AO112" s="99">
        <f t="shared" si="74"/>
        <v>587</v>
      </c>
      <c r="AP112" s="99">
        <f t="shared" si="74"/>
        <v>978</v>
      </c>
      <c r="AQ112" s="99">
        <f t="shared" si="74"/>
        <v>1198</v>
      </c>
      <c r="AR112" s="99">
        <f t="shared" si="74"/>
        <v>1480</v>
      </c>
      <c r="AS112" s="99">
        <f t="shared" si="74"/>
        <v>660</v>
      </c>
      <c r="AT112" s="99">
        <f t="shared" si="74"/>
        <v>1121</v>
      </c>
      <c r="AU112" s="99">
        <f t="shared" si="74"/>
        <v>1360</v>
      </c>
      <c r="AV112" s="99">
        <f t="shared" si="74"/>
        <v>1751</v>
      </c>
      <c r="AW112" s="99">
        <f t="shared" si="74"/>
        <v>619</v>
      </c>
      <c r="AX112" s="99">
        <f t="shared" si="74"/>
        <v>940</v>
      </c>
      <c r="AY112" s="99">
        <f t="shared" si="74"/>
        <v>1307</v>
      </c>
      <c r="AZ112" s="99">
        <f>AZ118+AZ121+AZ124</f>
        <v>1726</v>
      </c>
      <c r="BA112" s="133">
        <f>BA118+BA121+BA124</f>
        <v>563</v>
      </c>
      <c r="BB112" s="133">
        <f>BB118+BB121+BB124</f>
        <v>953</v>
      </c>
      <c r="BC112" s="133">
        <f>BC118+BC121+BC124</f>
        <v>1202</v>
      </c>
    </row>
    <row r="113" spans="1:55" ht="14.1" customHeight="1" outlineLevel="1" x14ac:dyDescent="0.2">
      <c r="A113" s="64"/>
      <c r="B113" s="58" t="s">
        <v>1</v>
      </c>
      <c r="C113" s="60">
        <v>305</v>
      </c>
      <c r="D113" s="60">
        <v>343</v>
      </c>
      <c r="E113" s="3">
        <v>210</v>
      </c>
      <c r="F113" s="3">
        <v>252</v>
      </c>
      <c r="G113" s="3">
        <v>265</v>
      </c>
      <c r="H113" s="3">
        <v>334</v>
      </c>
      <c r="I113" s="3">
        <v>191</v>
      </c>
      <c r="J113" s="3">
        <v>237</v>
      </c>
      <c r="K113" s="3">
        <v>253</v>
      </c>
      <c r="L113" s="3">
        <v>303</v>
      </c>
      <c r="M113" s="3">
        <v>210</v>
      </c>
      <c r="N113" s="3">
        <v>276</v>
      </c>
      <c r="O113" s="3">
        <v>293</v>
      </c>
      <c r="P113" s="3">
        <v>301</v>
      </c>
      <c r="Q113" s="3">
        <v>208</v>
      </c>
      <c r="R113" s="3">
        <v>281</v>
      </c>
      <c r="S113" s="3">
        <v>289</v>
      </c>
      <c r="T113" s="3">
        <v>337</v>
      </c>
      <c r="U113" s="3">
        <v>172</v>
      </c>
      <c r="V113" s="3">
        <v>224</v>
      </c>
      <c r="W113" s="3">
        <v>236</v>
      </c>
      <c r="X113" s="3">
        <v>287</v>
      </c>
      <c r="Y113" s="3">
        <v>166</v>
      </c>
      <c r="Z113" s="3">
        <v>199</v>
      </c>
      <c r="AA113" s="3">
        <v>216</v>
      </c>
      <c r="AB113" s="3">
        <v>253</v>
      </c>
      <c r="AC113" s="3">
        <v>159</v>
      </c>
      <c r="AD113" s="3">
        <v>202</v>
      </c>
      <c r="AE113" s="3">
        <v>215</v>
      </c>
      <c r="AF113" s="3">
        <v>217</v>
      </c>
      <c r="AG113" s="3">
        <v>182</v>
      </c>
      <c r="AH113" s="3">
        <v>212</v>
      </c>
      <c r="AI113" s="3">
        <v>212</v>
      </c>
      <c r="AJ113" s="3">
        <v>212</v>
      </c>
      <c r="AK113" s="3">
        <v>139</v>
      </c>
      <c r="AL113" s="3">
        <v>236</v>
      </c>
      <c r="AM113" s="3">
        <v>260</v>
      </c>
      <c r="AN113" s="3">
        <v>315</v>
      </c>
      <c r="AO113" s="3">
        <v>154</v>
      </c>
      <c r="AP113" s="3">
        <v>238</v>
      </c>
      <c r="AQ113" s="3">
        <v>261</v>
      </c>
      <c r="AR113" s="3">
        <v>288</v>
      </c>
      <c r="AS113" s="94">
        <v>206</v>
      </c>
      <c r="AT113" s="94">
        <v>311</v>
      </c>
      <c r="AU113" s="94">
        <v>327</v>
      </c>
      <c r="AV113" s="60">
        <v>362</v>
      </c>
      <c r="AW113" s="60">
        <v>155</v>
      </c>
      <c r="AX113" s="60">
        <v>212</v>
      </c>
      <c r="AZ113" s="42"/>
    </row>
    <row r="114" spans="1:55" ht="14.1" customHeight="1" outlineLevel="1" x14ac:dyDescent="0.2">
      <c r="A114" s="64"/>
      <c r="B114" s="58" t="s">
        <v>2</v>
      </c>
      <c r="C114" s="60">
        <v>217</v>
      </c>
      <c r="D114" s="60">
        <v>245</v>
      </c>
      <c r="E114" s="3">
        <v>150</v>
      </c>
      <c r="F114" s="3">
        <v>191</v>
      </c>
      <c r="G114" s="3">
        <v>233</v>
      </c>
      <c r="H114" s="3">
        <v>282</v>
      </c>
      <c r="I114" s="3">
        <v>129</v>
      </c>
      <c r="J114" s="3">
        <v>210</v>
      </c>
      <c r="K114" s="3">
        <v>232</v>
      </c>
      <c r="L114" s="3">
        <v>266</v>
      </c>
      <c r="M114" s="3">
        <v>135</v>
      </c>
      <c r="N114" s="3">
        <v>229</v>
      </c>
      <c r="O114" s="3">
        <v>255</v>
      </c>
      <c r="P114" s="3">
        <v>266</v>
      </c>
      <c r="Q114" s="3">
        <v>160</v>
      </c>
      <c r="R114" s="3">
        <v>277</v>
      </c>
      <c r="S114" s="3">
        <v>303</v>
      </c>
      <c r="T114" s="3">
        <v>346</v>
      </c>
      <c r="U114" s="3">
        <v>148</v>
      </c>
      <c r="V114" s="3">
        <v>246</v>
      </c>
      <c r="W114" s="3">
        <v>283</v>
      </c>
      <c r="X114" s="3">
        <v>337</v>
      </c>
      <c r="Y114" s="3">
        <v>146</v>
      </c>
      <c r="Z114" s="3">
        <v>256</v>
      </c>
      <c r="AA114" s="3">
        <v>300</v>
      </c>
      <c r="AB114" s="3">
        <v>339</v>
      </c>
      <c r="AC114" s="3">
        <v>185</v>
      </c>
      <c r="AD114" s="3">
        <v>282</v>
      </c>
      <c r="AE114" s="3">
        <v>316</v>
      </c>
      <c r="AF114" s="3">
        <v>321</v>
      </c>
      <c r="AG114" s="3">
        <v>210</v>
      </c>
      <c r="AH114" s="3">
        <v>298</v>
      </c>
      <c r="AI114" s="3">
        <v>298</v>
      </c>
      <c r="AJ114" s="3">
        <v>298</v>
      </c>
      <c r="AK114" s="3">
        <v>0</v>
      </c>
      <c r="AL114" s="3">
        <v>4</v>
      </c>
      <c r="AM114" s="3">
        <v>5</v>
      </c>
      <c r="AN114" s="3">
        <v>5</v>
      </c>
      <c r="AO114" s="3">
        <v>0</v>
      </c>
      <c r="AP114" s="3">
        <v>0</v>
      </c>
      <c r="AQ114" s="3">
        <v>0</v>
      </c>
      <c r="AR114" s="3">
        <v>0</v>
      </c>
      <c r="AS114" s="94">
        <v>0</v>
      </c>
      <c r="AT114" s="94">
        <v>0</v>
      </c>
      <c r="AU114" s="94">
        <v>0</v>
      </c>
      <c r="AV114" s="94">
        <v>0</v>
      </c>
      <c r="AW114" s="94">
        <v>0</v>
      </c>
      <c r="AX114" s="60">
        <v>0</v>
      </c>
      <c r="AZ114" s="42"/>
    </row>
    <row r="115" spans="1:55" ht="14.1" customHeight="1" outlineLevel="1" x14ac:dyDescent="0.2">
      <c r="A115" s="64"/>
      <c r="B115" s="58" t="s">
        <v>3</v>
      </c>
      <c r="C115" s="60">
        <v>51</v>
      </c>
      <c r="D115" s="60">
        <v>54</v>
      </c>
      <c r="E115" s="3">
        <v>27</v>
      </c>
      <c r="F115" s="3">
        <v>38</v>
      </c>
      <c r="G115" s="3">
        <v>50</v>
      </c>
      <c r="H115" s="3">
        <v>71</v>
      </c>
      <c r="I115" s="3">
        <v>31</v>
      </c>
      <c r="J115" s="3">
        <v>58</v>
      </c>
      <c r="K115" s="3">
        <v>69</v>
      </c>
      <c r="L115" s="3">
        <v>81</v>
      </c>
      <c r="M115" s="3">
        <v>24</v>
      </c>
      <c r="N115" s="3">
        <v>50</v>
      </c>
      <c r="O115" s="3">
        <v>57</v>
      </c>
      <c r="P115" s="3">
        <v>61</v>
      </c>
      <c r="Q115" s="3">
        <v>28</v>
      </c>
      <c r="R115" s="3">
        <v>44</v>
      </c>
      <c r="S115" s="3">
        <v>49</v>
      </c>
      <c r="T115" s="3">
        <v>54</v>
      </c>
      <c r="U115" s="3">
        <v>22</v>
      </c>
      <c r="V115" s="3">
        <v>39</v>
      </c>
      <c r="W115" s="3">
        <v>45</v>
      </c>
      <c r="X115" s="3">
        <v>53</v>
      </c>
      <c r="Y115" s="3">
        <v>26</v>
      </c>
      <c r="Z115" s="3">
        <v>51</v>
      </c>
      <c r="AA115" s="3">
        <v>62</v>
      </c>
      <c r="AB115" s="3">
        <v>67</v>
      </c>
      <c r="AC115" s="3">
        <v>24</v>
      </c>
      <c r="AD115" s="3">
        <v>50</v>
      </c>
      <c r="AE115" s="3">
        <v>50</v>
      </c>
      <c r="AF115" s="3">
        <v>53</v>
      </c>
      <c r="AG115" s="3">
        <v>20</v>
      </c>
      <c r="AH115" s="3">
        <v>44</v>
      </c>
      <c r="AI115" s="3">
        <v>49</v>
      </c>
      <c r="AJ115" s="3">
        <v>63</v>
      </c>
      <c r="AK115" s="3">
        <v>39</v>
      </c>
      <c r="AL115" s="3">
        <v>87</v>
      </c>
      <c r="AM115" s="3">
        <v>101</v>
      </c>
      <c r="AN115" s="3">
        <v>112</v>
      </c>
      <c r="AO115" s="3">
        <v>34</v>
      </c>
      <c r="AP115" s="3">
        <v>73</v>
      </c>
      <c r="AQ115" s="3">
        <v>89</v>
      </c>
      <c r="AR115" s="3">
        <v>94</v>
      </c>
      <c r="AS115" s="94">
        <v>40</v>
      </c>
      <c r="AT115" s="94">
        <v>92</v>
      </c>
      <c r="AU115" s="94">
        <v>103</v>
      </c>
      <c r="AV115" s="60">
        <v>109</v>
      </c>
      <c r="AW115" s="60">
        <v>34</v>
      </c>
      <c r="AX115" s="60">
        <v>59</v>
      </c>
      <c r="AZ115" s="42"/>
    </row>
    <row r="116" spans="1:55" ht="14.1" customHeight="1" outlineLevel="1" x14ac:dyDescent="0.2">
      <c r="A116" s="64"/>
      <c r="B116" s="58" t="s">
        <v>4</v>
      </c>
      <c r="C116" s="60">
        <v>119</v>
      </c>
      <c r="D116" s="60">
        <v>147</v>
      </c>
      <c r="E116" s="3">
        <v>59</v>
      </c>
      <c r="F116" s="3">
        <v>95</v>
      </c>
      <c r="G116" s="3">
        <v>116</v>
      </c>
      <c r="H116" s="3">
        <v>150</v>
      </c>
      <c r="I116" s="3">
        <v>84</v>
      </c>
      <c r="J116" s="3">
        <v>127</v>
      </c>
      <c r="K116" s="3">
        <v>141</v>
      </c>
      <c r="L116" s="3">
        <v>158</v>
      </c>
      <c r="M116" s="3">
        <v>38</v>
      </c>
      <c r="N116" s="3">
        <v>74</v>
      </c>
      <c r="O116" s="3">
        <v>86</v>
      </c>
      <c r="P116" s="3">
        <v>91</v>
      </c>
      <c r="Q116" s="3">
        <v>33</v>
      </c>
      <c r="R116" s="3">
        <v>48</v>
      </c>
      <c r="S116" s="3">
        <v>52</v>
      </c>
      <c r="T116" s="3">
        <v>65</v>
      </c>
      <c r="U116" s="3">
        <v>27</v>
      </c>
      <c r="V116" s="3">
        <v>64</v>
      </c>
      <c r="W116" s="3">
        <v>83</v>
      </c>
      <c r="X116" s="3">
        <v>107</v>
      </c>
      <c r="Y116" s="3">
        <v>25</v>
      </c>
      <c r="Z116" s="3">
        <v>82</v>
      </c>
      <c r="AA116" s="3">
        <v>91</v>
      </c>
      <c r="AB116" s="3">
        <v>107</v>
      </c>
      <c r="AC116" s="3">
        <v>51</v>
      </c>
      <c r="AD116" s="3">
        <v>104</v>
      </c>
      <c r="AE116" s="3">
        <v>119</v>
      </c>
      <c r="AF116" s="3">
        <v>125</v>
      </c>
      <c r="AG116" s="3">
        <v>99</v>
      </c>
      <c r="AH116" s="3">
        <v>184</v>
      </c>
      <c r="AI116" s="3">
        <v>215</v>
      </c>
      <c r="AJ116" s="3">
        <v>285</v>
      </c>
      <c r="AK116" s="3">
        <v>83</v>
      </c>
      <c r="AL116" s="3">
        <v>191</v>
      </c>
      <c r="AM116" s="3">
        <v>217</v>
      </c>
      <c r="AN116" s="3">
        <v>256</v>
      </c>
      <c r="AO116" s="3">
        <v>69</v>
      </c>
      <c r="AP116" s="3">
        <v>172</v>
      </c>
      <c r="AQ116" s="3">
        <v>206</v>
      </c>
      <c r="AR116" s="3">
        <v>226</v>
      </c>
      <c r="AS116" s="94">
        <v>111</v>
      </c>
      <c r="AT116" s="94">
        <v>211</v>
      </c>
      <c r="AU116" s="94">
        <v>241</v>
      </c>
      <c r="AV116" s="60">
        <v>250</v>
      </c>
      <c r="AW116" s="60">
        <v>116</v>
      </c>
      <c r="AX116" s="60">
        <v>207</v>
      </c>
      <c r="AZ116" s="42"/>
    </row>
    <row r="117" spans="1:55" ht="14.1" customHeight="1" outlineLevel="1" x14ac:dyDescent="0.2">
      <c r="A117" s="64"/>
      <c r="B117" s="58" t="s">
        <v>75</v>
      </c>
      <c r="C117" s="60"/>
      <c r="D117" s="6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20</v>
      </c>
      <c r="AQ117" s="3">
        <v>21</v>
      </c>
      <c r="AR117" s="3">
        <v>22</v>
      </c>
      <c r="AS117" s="94">
        <v>7</v>
      </c>
      <c r="AT117" s="94">
        <v>10</v>
      </c>
      <c r="AU117" s="94">
        <v>12</v>
      </c>
      <c r="AV117" s="60">
        <v>12</v>
      </c>
      <c r="AW117" s="60">
        <v>12</v>
      </c>
      <c r="AX117" s="60">
        <v>14</v>
      </c>
      <c r="AZ117" s="42"/>
    </row>
    <row r="118" spans="1:55" ht="14.1" customHeight="1" outlineLevel="1" x14ac:dyDescent="0.2">
      <c r="A118" s="64"/>
      <c r="B118" s="114" t="s">
        <v>223</v>
      </c>
      <c r="C118" s="117">
        <f t="shared" ref="C118:AQ118" si="75">SUM(C113:C117)</f>
        <v>692</v>
      </c>
      <c r="D118" s="117">
        <f t="shared" si="75"/>
        <v>789</v>
      </c>
      <c r="E118" s="117">
        <f t="shared" si="75"/>
        <v>446</v>
      </c>
      <c r="F118" s="117">
        <f t="shared" si="75"/>
        <v>576</v>
      </c>
      <c r="G118" s="117">
        <f t="shared" si="75"/>
        <v>664</v>
      </c>
      <c r="H118" s="117">
        <f t="shared" si="75"/>
        <v>837</v>
      </c>
      <c r="I118" s="117">
        <f t="shared" si="75"/>
        <v>435</v>
      </c>
      <c r="J118" s="117">
        <f t="shared" si="75"/>
        <v>632</v>
      </c>
      <c r="K118" s="117">
        <f t="shared" si="75"/>
        <v>695</v>
      </c>
      <c r="L118" s="117">
        <f t="shared" si="75"/>
        <v>808</v>
      </c>
      <c r="M118" s="117">
        <f t="shared" si="75"/>
        <v>407</v>
      </c>
      <c r="N118" s="117">
        <f t="shared" si="75"/>
        <v>629</v>
      </c>
      <c r="O118" s="117">
        <f t="shared" si="75"/>
        <v>691</v>
      </c>
      <c r="P118" s="117">
        <f t="shared" si="75"/>
        <v>719</v>
      </c>
      <c r="Q118" s="117">
        <f t="shared" si="75"/>
        <v>429</v>
      </c>
      <c r="R118" s="117">
        <f t="shared" si="75"/>
        <v>650</v>
      </c>
      <c r="S118" s="117">
        <f t="shared" si="75"/>
        <v>693</v>
      </c>
      <c r="T118" s="117">
        <f t="shared" si="75"/>
        <v>802</v>
      </c>
      <c r="U118" s="117">
        <f t="shared" si="75"/>
        <v>369</v>
      </c>
      <c r="V118" s="117">
        <f t="shared" si="75"/>
        <v>573</v>
      </c>
      <c r="W118" s="117">
        <f t="shared" si="75"/>
        <v>647</v>
      </c>
      <c r="X118" s="117">
        <f t="shared" si="75"/>
        <v>784</v>
      </c>
      <c r="Y118" s="117">
        <f t="shared" si="75"/>
        <v>363</v>
      </c>
      <c r="Z118" s="117">
        <f t="shared" si="75"/>
        <v>588</v>
      </c>
      <c r="AA118" s="117">
        <f t="shared" si="75"/>
        <v>669</v>
      </c>
      <c r="AB118" s="117">
        <f t="shared" si="75"/>
        <v>766</v>
      </c>
      <c r="AC118" s="117">
        <f t="shared" si="75"/>
        <v>419</v>
      </c>
      <c r="AD118" s="117">
        <f t="shared" si="75"/>
        <v>638</v>
      </c>
      <c r="AE118" s="117">
        <f t="shared" si="75"/>
        <v>700</v>
      </c>
      <c r="AF118" s="117">
        <f t="shared" si="75"/>
        <v>716</v>
      </c>
      <c r="AG118" s="117">
        <f t="shared" si="75"/>
        <v>511</v>
      </c>
      <c r="AH118" s="117">
        <f t="shared" si="75"/>
        <v>738</v>
      </c>
      <c r="AI118" s="117">
        <f t="shared" si="75"/>
        <v>774</v>
      </c>
      <c r="AJ118" s="117">
        <f t="shared" si="75"/>
        <v>858</v>
      </c>
      <c r="AK118" s="117">
        <f t="shared" si="75"/>
        <v>261</v>
      </c>
      <c r="AL118" s="117">
        <f t="shared" si="75"/>
        <v>518</v>
      </c>
      <c r="AM118" s="117">
        <f t="shared" si="75"/>
        <v>583</v>
      </c>
      <c r="AN118" s="117">
        <f t="shared" si="75"/>
        <v>688</v>
      </c>
      <c r="AO118" s="117">
        <f t="shared" si="75"/>
        <v>257</v>
      </c>
      <c r="AP118" s="117">
        <f t="shared" si="75"/>
        <v>503</v>
      </c>
      <c r="AQ118" s="117">
        <f t="shared" si="75"/>
        <v>577</v>
      </c>
      <c r="AR118" s="117">
        <f>SUM(AR113:AR117)</f>
        <v>630</v>
      </c>
      <c r="AS118" s="117">
        <f>SUM(AS113:AS117)</f>
        <v>364</v>
      </c>
      <c r="AT118" s="117">
        <f>SUM(AT113:AT117)</f>
        <v>624</v>
      </c>
      <c r="AU118" s="118">
        <v>683</v>
      </c>
      <c r="AV118" s="117">
        <f>SUM(AV113:AV117)</f>
        <v>733</v>
      </c>
      <c r="AW118" s="117">
        <f>SUM(AW113:AW117)</f>
        <v>317</v>
      </c>
      <c r="AX118" s="117">
        <f>SUM(AX113:AX117)</f>
        <v>492</v>
      </c>
      <c r="AY118" s="117">
        <v>560</v>
      </c>
      <c r="AZ118" s="99">
        <v>687</v>
      </c>
      <c r="BA118" s="117">
        <v>264</v>
      </c>
      <c r="BB118" s="117">
        <v>444</v>
      </c>
      <c r="BC118" s="117">
        <v>507</v>
      </c>
    </row>
    <row r="119" spans="1:55" ht="14.1" customHeight="1" outlineLevel="1" x14ac:dyDescent="0.2">
      <c r="A119" s="64"/>
      <c r="B119" s="58" t="s">
        <v>5</v>
      </c>
      <c r="C119" s="60">
        <v>17</v>
      </c>
      <c r="D119" s="60">
        <v>33</v>
      </c>
      <c r="E119" s="3">
        <v>14</v>
      </c>
      <c r="F119" s="3">
        <v>42</v>
      </c>
      <c r="G119" s="3">
        <v>149</v>
      </c>
      <c r="H119" s="3">
        <v>202</v>
      </c>
      <c r="I119" s="3">
        <v>29</v>
      </c>
      <c r="J119" s="3">
        <v>53</v>
      </c>
      <c r="K119" s="3">
        <v>141</v>
      </c>
      <c r="L119" s="3">
        <v>198</v>
      </c>
      <c r="M119" s="3">
        <v>20</v>
      </c>
      <c r="N119" s="3">
        <v>40</v>
      </c>
      <c r="O119" s="3">
        <v>99</v>
      </c>
      <c r="P119" s="3">
        <v>140</v>
      </c>
      <c r="Q119" s="3">
        <v>21</v>
      </c>
      <c r="R119" s="3">
        <v>40</v>
      </c>
      <c r="S119" s="3">
        <v>89</v>
      </c>
      <c r="T119" s="3">
        <v>139</v>
      </c>
      <c r="U119" s="3">
        <v>23</v>
      </c>
      <c r="V119" s="3">
        <v>39</v>
      </c>
      <c r="W119" s="3">
        <v>98</v>
      </c>
      <c r="X119" s="3">
        <v>153</v>
      </c>
      <c r="Y119" s="3">
        <v>21</v>
      </c>
      <c r="Z119" s="3">
        <v>46</v>
      </c>
      <c r="AA119" s="3">
        <v>107</v>
      </c>
      <c r="AB119" s="3">
        <v>172</v>
      </c>
      <c r="AC119" s="3">
        <v>31</v>
      </c>
      <c r="AD119" s="3">
        <v>55</v>
      </c>
      <c r="AE119" s="3">
        <v>92</v>
      </c>
      <c r="AF119" s="3">
        <v>118</v>
      </c>
      <c r="AG119" s="3">
        <v>32</v>
      </c>
      <c r="AH119" s="3">
        <v>48</v>
      </c>
      <c r="AI119" s="3">
        <v>136</v>
      </c>
      <c r="AJ119" s="3">
        <v>215</v>
      </c>
      <c r="AK119" s="3">
        <v>42</v>
      </c>
      <c r="AL119" s="3">
        <v>54</v>
      </c>
      <c r="AM119" s="3">
        <v>153</v>
      </c>
      <c r="AN119" s="3">
        <v>208</v>
      </c>
      <c r="AO119" s="3">
        <v>54</v>
      </c>
      <c r="AP119" s="3">
        <v>86</v>
      </c>
      <c r="AQ119" s="3">
        <v>122</v>
      </c>
      <c r="AR119" s="3">
        <v>142</v>
      </c>
      <c r="AS119" s="94">
        <v>29</v>
      </c>
      <c r="AT119" s="94">
        <v>55</v>
      </c>
      <c r="AU119" s="94">
        <v>108</v>
      </c>
      <c r="AV119" s="60">
        <v>202</v>
      </c>
      <c r="AW119" s="60">
        <v>53</v>
      </c>
      <c r="AX119" s="60">
        <v>93</v>
      </c>
      <c r="AZ119" s="42"/>
      <c r="BA119" s="60"/>
      <c r="BB119" s="117"/>
    </row>
    <row r="120" spans="1:55" ht="14.1" customHeight="1" outlineLevel="1" x14ac:dyDescent="0.2">
      <c r="A120" s="64"/>
      <c r="B120" s="103" t="s">
        <v>191</v>
      </c>
      <c r="C120" s="60">
        <v>368</v>
      </c>
      <c r="D120" s="60">
        <v>544</v>
      </c>
      <c r="E120" s="3">
        <v>83</v>
      </c>
      <c r="F120" s="3">
        <v>176</v>
      </c>
      <c r="G120" s="3">
        <v>383</v>
      </c>
      <c r="H120" s="3">
        <v>524</v>
      </c>
      <c r="I120" s="3">
        <v>179</v>
      </c>
      <c r="J120" s="3">
        <v>279</v>
      </c>
      <c r="K120" s="3">
        <v>471</v>
      </c>
      <c r="L120" s="3">
        <v>697</v>
      </c>
      <c r="M120" s="3">
        <v>160</v>
      </c>
      <c r="N120" s="3">
        <v>250</v>
      </c>
      <c r="O120" s="3">
        <v>412</v>
      </c>
      <c r="P120" s="3">
        <v>609</v>
      </c>
      <c r="Q120" s="3">
        <v>141</v>
      </c>
      <c r="R120" s="3">
        <v>268</v>
      </c>
      <c r="S120" s="3">
        <v>442</v>
      </c>
      <c r="T120" s="3">
        <v>668</v>
      </c>
      <c r="U120" s="3">
        <v>188</v>
      </c>
      <c r="V120" s="3">
        <v>283</v>
      </c>
      <c r="W120" s="3">
        <v>433</v>
      </c>
      <c r="X120" s="3">
        <v>672</v>
      </c>
      <c r="Y120" s="3">
        <v>204</v>
      </c>
      <c r="Z120" s="3">
        <v>301</v>
      </c>
      <c r="AA120" s="3">
        <v>455</v>
      </c>
      <c r="AB120" s="3">
        <v>746</v>
      </c>
      <c r="AC120" s="3">
        <v>184</v>
      </c>
      <c r="AD120" s="3">
        <v>316</v>
      </c>
      <c r="AE120" s="3">
        <v>437</v>
      </c>
      <c r="AF120" s="3">
        <v>665</v>
      </c>
      <c r="AG120" s="3">
        <v>214</v>
      </c>
      <c r="AH120" s="3">
        <v>318</v>
      </c>
      <c r="AI120" s="3">
        <v>436</v>
      </c>
      <c r="AJ120" s="3">
        <v>674</v>
      </c>
      <c r="AK120" s="3">
        <v>260</v>
      </c>
      <c r="AL120" s="3">
        <v>375</v>
      </c>
      <c r="AM120" s="3">
        <v>532</v>
      </c>
      <c r="AN120" s="3">
        <v>779</v>
      </c>
      <c r="AO120" s="3">
        <v>276</v>
      </c>
      <c r="AP120" s="3">
        <v>389</v>
      </c>
      <c r="AQ120" s="94">
        <v>499</v>
      </c>
      <c r="AR120" s="94">
        <v>708</v>
      </c>
      <c r="AS120" s="94">
        <v>258</v>
      </c>
      <c r="AT120" s="94">
        <v>423</v>
      </c>
      <c r="AU120" s="94">
        <v>544</v>
      </c>
      <c r="AV120" s="60">
        <v>816</v>
      </c>
      <c r="AW120" s="60">
        <v>231</v>
      </c>
      <c r="AX120" s="60">
        <v>326</v>
      </c>
      <c r="AZ120" s="42"/>
      <c r="BA120" s="60"/>
      <c r="BB120" s="117"/>
    </row>
    <row r="121" spans="1:55" ht="14.1" customHeight="1" outlineLevel="1" x14ac:dyDescent="0.2">
      <c r="A121" s="64"/>
      <c r="B121" s="115" t="s">
        <v>224</v>
      </c>
      <c r="C121" s="117">
        <f t="shared" ref="C121:AS121" si="76">SUM(C119:C120)</f>
        <v>385</v>
      </c>
      <c r="D121" s="117">
        <f t="shared" si="76"/>
        <v>577</v>
      </c>
      <c r="E121" s="117">
        <f t="shared" si="76"/>
        <v>97</v>
      </c>
      <c r="F121" s="117">
        <f t="shared" si="76"/>
        <v>218</v>
      </c>
      <c r="G121" s="117">
        <f t="shared" si="76"/>
        <v>532</v>
      </c>
      <c r="H121" s="117">
        <f t="shared" si="76"/>
        <v>726</v>
      </c>
      <c r="I121" s="117">
        <f t="shared" si="76"/>
        <v>208</v>
      </c>
      <c r="J121" s="117">
        <f t="shared" si="76"/>
        <v>332</v>
      </c>
      <c r="K121" s="117">
        <f t="shared" si="76"/>
        <v>612</v>
      </c>
      <c r="L121" s="117">
        <f t="shared" si="76"/>
        <v>895</v>
      </c>
      <c r="M121" s="117">
        <f t="shared" si="76"/>
        <v>180</v>
      </c>
      <c r="N121" s="117">
        <f t="shared" si="76"/>
        <v>290</v>
      </c>
      <c r="O121" s="117">
        <f t="shared" si="76"/>
        <v>511</v>
      </c>
      <c r="P121" s="117">
        <f t="shared" si="76"/>
        <v>749</v>
      </c>
      <c r="Q121" s="117">
        <f t="shared" si="76"/>
        <v>162</v>
      </c>
      <c r="R121" s="117">
        <f t="shared" si="76"/>
        <v>308</v>
      </c>
      <c r="S121" s="117">
        <f t="shared" si="76"/>
        <v>531</v>
      </c>
      <c r="T121" s="117">
        <f t="shared" si="76"/>
        <v>807</v>
      </c>
      <c r="U121" s="117">
        <f t="shared" si="76"/>
        <v>211</v>
      </c>
      <c r="V121" s="117">
        <f t="shared" si="76"/>
        <v>322</v>
      </c>
      <c r="W121" s="117">
        <f t="shared" si="76"/>
        <v>531</v>
      </c>
      <c r="X121" s="117">
        <f t="shared" si="76"/>
        <v>825</v>
      </c>
      <c r="Y121" s="117">
        <f t="shared" si="76"/>
        <v>225</v>
      </c>
      <c r="Z121" s="117">
        <f t="shared" si="76"/>
        <v>347</v>
      </c>
      <c r="AA121" s="117">
        <f t="shared" si="76"/>
        <v>562</v>
      </c>
      <c r="AB121" s="117">
        <f t="shared" si="76"/>
        <v>918</v>
      </c>
      <c r="AC121" s="117">
        <f t="shared" si="76"/>
        <v>215</v>
      </c>
      <c r="AD121" s="117">
        <f t="shared" si="76"/>
        <v>371</v>
      </c>
      <c r="AE121" s="117">
        <f t="shared" si="76"/>
        <v>529</v>
      </c>
      <c r="AF121" s="117">
        <f t="shared" si="76"/>
        <v>783</v>
      </c>
      <c r="AG121" s="117">
        <f t="shared" si="76"/>
        <v>246</v>
      </c>
      <c r="AH121" s="117">
        <f t="shared" si="76"/>
        <v>366</v>
      </c>
      <c r="AI121" s="117">
        <f t="shared" si="76"/>
        <v>572</v>
      </c>
      <c r="AJ121" s="117">
        <f t="shared" si="76"/>
        <v>889</v>
      </c>
      <c r="AK121" s="117">
        <f t="shared" si="76"/>
        <v>302</v>
      </c>
      <c r="AL121" s="117">
        <f t="shared" si="76"/>
        <v>429</v>
      </c>
      <c r="AM121" s="117">
        <f t="shared" si="76"/>
        <v>685</v>
      </c>
      <c r="AN121" s="117">
        <f t="shared" si="76"/>
        <v>987</v>
      </c>
      <c r="AO121" s="117">
        <f t="shared" si="76"/>
        <v>330</v>
      </c>
      <c r="AP121" s="117">
        <f t="shared" si="76"/>
        <v>475</v>
      </c>
      <c r="AQ121" s="117">
        <f t="shared" si="76"/>
        <v>621</v>
      </c>
      <c r="AR121" s="117">
        <f t="shared" si="76"/>
        <v>850</v>
      </c>
      <c r="AS121" s="117">
        <f t="shared" si="76"/>
        <v>287</v>
      </c>
      <c r="AT121" s="117">
        <f>SUM(AT119:AT120)</f>
        <v>478</v>
      </c>
      <c r="AU121" s="118">
        <v>651</v>
      </c>
      <c r="AV121" s="117">
        <f>SUM(AV119:AV120)</f>
        <v>1018</v>
      </c>
      <c r="AW121" s="117">
        <f>SUM(AW119:AW120)</f>
        <v>284</v>
      </c>
      <c r="AX121" s="117">
        <f>SUM(AX119:AX120)</f>
        <v>419</v>
      </c>
      <c r="AY121" s="117">
        <v>704</v>
      </c>
      <c r="AZ121" s="99">
        <v>981</v>
      </c>
      <c r="BA121" s="117">
        <v>269</v>
      </c>
      <c r="BB121" s="117">
        <v>458</v>
      </c>
      <c r="BC121" s="117">
        <v>622</v>
      </c>
    </row>
    <row r="122" spans="1:55" ht="14.1" customHeight="1" outlineLevel="1" x14ac:dyDescent="0.2">
      <c r="A122" s="64"/>
      <c r="B122" s="58" t="s">
        <v>30</v>
      </c>
      <c r="C122" s="60"/>
      <c r="D122" s="6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94">
        <v>3</v>
      </c>
      <c r="AT122" s="94">
        <v>5</v>
      </c>
      <c r="AU122" s="94"/>
      <c r="AV122" s="60"/>
      <c r="AW122" s="60">
        <v>10</v>
      </c>
      <c r="AX122" s="60">
        <v>13</v>
      </c>
      <c r="AZ122" s="42"/>
      <c r="BA122" s="60"/>
    </row>
    <row r="123" spans="1:55" ht="14.1" customHeight="1" outlineLevel="1" x14ac:dyDescent="0.2">
      <c r="A123" s="64"/>
      <c r="B123" s="58" t="s">
        <v>215</v>
      </c>
      <c r="C123" s="60"/>
      <c r="D123" s="6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94"/>
      <c r="AR123" s="94"/>
      <c r="AS123" s="94">
        <v>6</v>
      </c>
      <c r="AT123" s="94">
        <v>14</v>
      </c>
      <c r="AU123" s="94"/>
      <c r="AV123" s="60"/>
      <c r="AW123" s="60">
        <v>8</v>
      </c>
      <c r="AX123" s="60">
        <v>16</v>
      </c>
      <c r="AZ123" s="42"/>
      <c r="BA123" s="60"/>
    </row>
    <row r="124" spans="1:55" ht="14.1" customHeight="1" outlineLevel="1" x14ac:dyDescent="0.2">
      <c r="A124" s="64"/>
      <c r="B124" s="116" t="s">
        <v>148</v>
      </c>
      <c r="C124" s="29"/>
      <c r="D124" s="2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73"/>
      <c r="AR124" s="73"/>
      <c r="AS124" s="117">
        <f>SUM(AS122:AS123)</f>
        <v>9</v>
      </c>
      <c r="AT124" s="117">
        <f>SUM(AT122:AT123)</f>
        <v>19</v>
      </c>
      <c r="AU124" s="119">
        <v>26</v>
      </c>
      <c r="AV124" s="29"/>
      <c r="AW124" s="117">
        <f>SUM(AW122:AW123)</f>
        <v>18</v>
      </c>
      <c r="AX124" s="117">
        <f>SUM(AX122:AX123)</f>
        <v>29</v>
      </c>
      <c r="AY124" s="117">
        <v>43</v>
      </c>
      <c r="AZ124" s="99">
        <v>58</v>
      </c>
      <c r="BA124" s="117">
        <v>30</v>
      </c>
      <c r="BB124" s="117">
        <v>51</v>
      </c>
      <c r="BC124" s="117">
        <v>73</v>
      </c>
    </row>
    <row r="125" spans="1:55" ht="14.1" customHeight="1" outlineLevel="1" x14ac:dyDescent="0.2">
      <c r="A125" s="64"/>
      <c r="B125" s="6" t="s">
        <v>72</v>
      </c>
      <c r="C125" s="30">
        <v>502</v>
      </c>
      <c r="D125" s="30">
        <v>518</v>
      </c>
      <c r="E125" s="30">
        <v>284</v>
      </c>
      <c r="F125" s="30">
        <v>291</v>
      </c>
      <c r="G125" s="30">
        <v>290</v>
      </c>
      <c r="H125" s="30">
        <v>287</v>
      </c>
      <c r="I125" s="30">
        <v>308</v>
      </c>
      <c r="J125" s="30">
        <v>301</v>
      </c>
      <c r="K125" s="30">
        <v>321</v>
      </c>
      <c r="L125" s="30">
        <v>339</v>
      </c>
      <c r="M125" s="30">
        <v>359</v>
      </c>
      <c r="N125" s="30">
        <v>380</v>
      </c>
      <c r="O125" s="30">
        <v>412</v>
      </c>
      <c r="P125" s="30">
        <v>430</v>
      </c>
      <c r="Q125" s="30">
        <v>392</v>
      </c>
      <c r="R125" s="30">
        <v>409</v>
      </c>
      <c r="S125" s="30">
        <v>423</v>
      </c>
      <c r="T125" s="30">
        <v>429</v>
      </c>
      <c r="U125" s="30">
        <v>426</v>
      </c>
      <c r="V125" s="30">
        <v>418</v>
      </c>
      <c r="W125" s="30">
        <v>416</v>
      </c>
      <c r="X125" s="30">
        <v>405</v>
      </c>
      <c r="Y125" s="30">
        <v>359</v>
      </c>
      <c r="Z125" s="30">
        <v>356</v>
      </c>
      <c r="AA125" s="7">
        <v>367</v>
      </c>
      <c r="AB125" s="7">
        <v>377</v>
      </c>
      <c r="AC125" s="7">
        <v>339</v>
      </c>
      <c r="AD125" s="7">
        <v>334</v>
      </c>
      <c r="AE125" s="7">
        <v>340</v>
      </c>
      <c r="AF125" s="7">
        <v>345</v>
      </c>
      <c r="AG125" s="7">
        <v>297</v>
      </c>
      <c r="AH125" s="7">
        <v>294</v>
      </c>
      <c r="AI125" s="7">
        <v>299</v>
      </c>
      <c r="AJ125" s="7">
        <v>297</v>
      </c>
      <c r="AK125" s="7">
        <v>272</v>
      </c>
      <c r="AL125" s="7">
        <v>263</v>
      </c>
      <c r="AM125" s="7">
        <v>275</v>
      </c>
      <c r="AN125" s="7">
        <v>279</v>
      </c>
      <c r="AO125" s="7">
        <v>286</v>
      </c>
      <c r="AP125" s="7">
        <v>281</v>
      </c>
      <c r="AQ125" s="7">
        <v>284</v>
      </c>
      <c r="AR125" s="7">
        <v>294</v>
      </c>
      <c r="AS125" s="7">
        <v>301</v>
      </c>
      <c r="AT125" s="7">
        <v>300</v>
      </c>
      <c r="AU125" s="7">
        <v>304</v>
      </c>
      <c r="AV125" s="7">
        <v>302</v>
      </c>
      <c r="AW125" s="7">
        <v>264</v>
      </c>
      <c r="AX125" s="7">
        <v>262</v>
      </c>
      <c r="AY125" s="7">
        <v>264</v>
      </c>
      <c r="AZ125" s="7">
        <v>266</v>
      </c>
      <c r="BA125" s="7">
        <v>339</v>
      </c>
      <c r="BB125" s="7">
        <v>351</v>
      </c>
      <c r="BC125" s="7">
        <v>375</v>
      </c>
    </row>
    <row r="126" spans="1:55" ht="14.1" customHeight="1" outlineLevel="1" x14ac:dyDescent="0.2">
      <c r="A126" s="64"/>
      <c r="B126" s="22" t="s">
        <v>74</v>
      </c>
      <c r="C126" s="23">
        <f t="shared" ref="C126:AX126" si="77">C130+C133+C135</f>
        <v>935</v>
      </c>
      <c r="D126" s="23">
        <f t="shared" si="77"/>
        <v>1123</v>
      </c>
      <c r="E126" s="23">
        <f t="shared" si="77"/>
        <v>231</v>
      </c>
      <c r="F126" s="23">
        <f t="shared" si="77"/>
        <v>361</v>
      </c>
      <c r="G126" s="23">
        <f t="shared" si="77"/>
        <v>765</v>
      </c>
      <c r="H126" s="23">
        <f t="shared" si="77"/>
        <v>1110</v>
      </c>
      <c r="I126" s="23">
        <f t="shared" si="77"/>
        <v>363</v>
      </c>
      <c r="J126" s="23">
        <f t="shared" si="77"/>
        <v>674</v>
      </c>
      <c r="K126" s="23">
        <f t="shared" si="77"/>
        <v>1078</v>
      </c>
      <c r="L126" s="23">
        <f t="shared" si="77"/>
        <v>1448</v>
      </c>
      <c r="M126" s="23">
        <f t="shared" si="77"/>
        <v>341</v>
      </c>
      <c r="N126" s="23">
        <f t="shared" si="77"/>
        <v>720</v>
      </c>
      <c r="O126" s="23">
        <f t="shared" si="77"/>
        <v>1077</v>
      </c>
      <c r="P126" s="23">
        <f t="shared" si="77"/>
        <v>1386</v>
      </c>
      <c r="Q126" s="23">
        <f t="shared" si="77"/>
        <v>301</v>
      </c>
      <c r="R126" s="23">
        <f t="shared" si="77"/>
        <v>715</v>
      </c>
      <c r="S126" s="23">
        <f t="shared" si="77"/>
        <v>1086</v>
      </c>
      <c r="T126" s="23">
        <f t="shared" si="77"/>
        <v>1423</v>
      </c>
      <c r="U126" s="23">
        <f t="shared" si="77"/>
        <v>351</v>
      </c>
      <c r="V126" s="23">
        <f t="shared" si="77"/>
        <v>721</v>
      </c>
      <c r="W126" s="23">
        <f t="shared" si="77"/>
        <v>1109</v>
      </c>
      <c r="X126" s="23">
        <f t="shared" si="77"/>
        <v>1409</v>
      </c>
      <c r="Y126" s="23">
        <f t="shared" si="77"/>
        <v>401</v>
      </c>
      <c r="Z126" s="23">
        <f t="shared" si="77"/>
        <v>785</v>
      </c>
      <c r="AA126" s="23">
        <f t="shared" si="77"/>
        <v>1122</v>
      </c>
      <c r="AB126" s="23">
        <f t="shared" si="77"/>
        <v>1488</v>
      </c>
      <c r="AC126" s="23">
        <f t="shared" si="77"/>
        <v>352</v>
      </c>
      <c r="AD126" s="23">
        <f t="shared" si="77"/>
        <v>695</v>
      </c>
      <c r="AE126" s="23">
        <f t="shared" si="77"/>
        <v>1043</v>
      </c>
      <c r="AF126" s="23">
        <f t="shared" si="77"/>
        <v>1373</v>
      </c>
      <c r="AG126" s="23">
        <f t="shared" si="77"/>
        <v>376</v>
      </c>
      <c r="AH126" s="23">
        <f t="shared" si="77"/>
        <v>729</v>
      </c>
      <c r="AI126" s="23">
        <f t="shared" si="77"/>
        <v>968</v>
      </c>
      <c r="AJ126" s="23">
        <f t="shared" si="77"/>
        <v>1297</v>
      </c>
      <c r="AK126" s="23">
        <f t="shared" si="77"/>
        <v>432</v>
      </c>
      <c r="AL126" s="23">
        <f t="shared" si="77"/>
        <v>790</v>
      </c>
      <c r="AM126" s="23">
        <f t="shared" si="77"/>
        <v>1173</v>
      </c>
      <c r="AN126" s="23">
        <f t="shared" si="77"/>
        <v>1576</v>
      </c>
      <c r="AO126" s="23">
        <f t="shared" si="77"/>
        <v>434.79700000000003</v>
      </c>
      <c r="AP126" s="23">
        <f t="shared" si="77"/>
        <v>874.55700000000002</v>
      </c>
      <c r="AQ126" s="23">
        <f t="shared" si="77"/>
        <v>1294.557</v>
      </c>
      <c r="AR126" s="23">
        <f t="shared" si="77"/>
        <v>1604</v>
      </c>
      <c r="AS126" s="23">
        <f t="shared" si="77"/>
        <v>430</v>
      </c>
      <c r="AT126" s="23">
        <f t="shared" si="77"/>
        <v>898</v>
      </c>
      <c r="AU126" s="23">
        <f t="shared" si="77"/>
        <v>1340</v>
      </c>
      <c r="AV126" s="23">
        <f t="shared" si="77"/>
        <v>1679</v>
      </c>
      <c r="AW126" s="23">
        <f t="shared" si="77"/>
        <v>478</v>
      </c>
      <c r="AX126" s="23">
        <f t="shared" si="77"/>
        <v>906</v>
      </c>
      <c r="AY126" s="23">
        <f>AY130+AY133+AY135</f>
        <v>1298</v>
      </c>
      <c r="AZ126" s="23">
        <f>AZ130+AZ133+AZ135</f>
        <v>1790</v>
      </c>
      <c r="BA126" s="23">
        <f>BA130+BA133+BA135</f>
        <v>467</v>
      </c>
      <c r="BB126" s="23">
        <f>BB130+BB133+BB135</f>
        <v>870</v>
      </c>
      <c r="BC126" s="23">
        <f>BC130+BC133+BC135</f>
        <v>1258</v>
      </c>
    </row>
    <row r="127" spans="1:55" ht="14.1" customHeight="1" outlineLevel="1" x14ac:dyDescent="0.2">
      <c r="A127" s="64"/>
      <c r="B127" s="58" t="s">
        <v>0</v>
      </c>
      <c r="C127" s="60">
        <v>250</v>
      </c>
      <c r="D127" s="3">
        <v>327</v>
      </c>
      <c r="E127" s="3">
        <v>111</v>
      </c>
      <c r="F127" s="3">
        <v>122</v>
      </c>
      <c r="G127" s="3">
        <v>208</v>
      </c>
      <c r="H127" s="3">
        <v>310</v>
      </c>
      <c r="I127" s="3">
        <v>99</v>
      </c>
      <c r="J127" s="3">
        <v>145</v>
      </c>
      <c r="K127" s="3">
        <v>226</v>
      </c>
      <c r="L127" s="3">
        <v>337</v>
      </c>
      <c r="M127" s="3">
        <v>95</v>
      </c>
      <c r="N127" s="3">
        <v>156</v>
      </c>
      <c r="O127" s="3">
        <v>241</v>
      </c>
      <c r="P127" s="3">
        <v>343</v>
      </c>
      <c r="Q127" s="3">
        <v>85</v>
      </c>
      <c r="R127" s="3">
        <v>127</v>
      </c>
      <c r="S127" s="3">
        <v>224</v>
      </c>
      <c r="T127" s="3">
        <v>305</v>
      </c>
      <c r="U127" s="3">
        <v>55</v>
      </c>
      <c r="V127" s="3">
        <v>98</v>
      </c>
      <c r="W127" s="3">
        <v>202</v>
      </c>
      <c r="X127" s="3">
        <v>266</v>
      </c>
      <c r="Y127" s="3">
        <v>100</v>
      </c>
      <c r="Z127" s="3">
        <v>122</v>
      </c>
      <c r="AA127" s="3">
        <v>181</v>
      </c>
      <c r="AB127" s="3">
        <v>266</v>
      </c>
      <c r="AC127" s="3">
        <v>91</v>
      </c>
      <c r="AD127" s="3">
        <v>120</v>
      </c>
      <c r="AE127" s="3">
        <v>226</v>
      </c>
      <c r="AF127" s="3">
        <v>256</v>
      </c>
      <c r="AG127" s="3">
        <v>68</v>
      </c>
      <c r="AH127" s="3">
        <v>130</v>
      </c>
      <c r="AI127" s="3">
        <v>139</v>
      </c>
      <c r="AJ127" s="3">
        <v>222</v>
      </c>
      <c r="AK127" s="3">
        <v>160</v>
      </c>
      <c r="AL127" s="3">
        <v>266</v>
      </c>
      <c r="AM127" s="3">
        <v>350</v>
      </c>
      <c r="AN127" s="3">
        <v>490</v>
      </c>
      <c r="AO127" s="3">
        <v>168</v>
      </c>
      <c r="AP127" s="3">
        <v>294</v>
      </c>
      <c r="AQ127" s="3">
        <v>335</v>
      </c>
      <c r="AR127" s="3">
        <v>430</v>
      </c>
      <c r="AS127" s="60">
        <v>112</v>
      </c>
      <c r="AT127" s="60">
        <v>227</v>
      </c>
      <c r="AU127" s="60">
        <v>306</v>
      </c>
      <c r="AV127" s="60">
        <v>383</v>
      </c>
      <c r="AW127" s="60">
        <v>140</v>
      </c>
      <c r="AX127" s="60">
        <v>249</v>
      </c>
      <c r="AY127" s="117"/>
      <c r="AZ127" s="117"/>
      <c r="BA127" s="60"/>
    </row>
    <row r="128" spans="1:55" ht="14.1" customHeight="1" outlineLevel="1" x14ac:dyDescent="0.2">
      <c r="A128" s="64"/>
      <c r="B128" s="58" t="s">
        <v>2</v>
      </c>
      <c r="C128" s="60">
        <v>138</v>
      </c>
      <c r="D128" s="3">
        <v>174</v>
      </c>
      <c r="E128" s="3">
        <v>50</v>
      </c>
      <c r="F128" s="3">
        <v>53</v>
      </c>
      <c r="G128" s="3">
        <v>83</v>
      </c>
      <c r="H128" s="3">
        <v>132</v>
      </c>
      <c r="I128" s="3">
        <v>62</v>
      </c>
      <c r="J128" s="3">
        <v>124</v>
      </c>
      <c r="K128" s="3">
        <v>140</v>
      </c>
      <c r="L128" s="3">
        <v>194</v>
      </c>
      <c r="M128" s="3">
        <v>69</v>
      </c>
      <c r="N128" s="3">
        <v>166</v>
      </c>
      <c r="O128" s="3">
        <v>193</v>
      </c>
      <c r="P128" s="3">
        <v>253</v>
      </c>
      <c r="Q128" s="3">
        <v>76</v>
      </c>
      <c r="R128" s="3">
        <v>186</v>
      </c>
      <c r="S128" s="3">
        <v>219</v>
      </c>
      <c r="T128" s="3">
        <v>297</v>
      </c>
      <c r="U128" s="3">
        <v>97</v>
      </c>
      <c r="V128" s="3">
        <v>196</v>
      </c>
      <c r="W128" s="3">
        <v>229</v>
      </c>
      <c r="X128" s="3">
        <v>329</v>
      </c>
      <c r="Y128" s="3">
        <v>62</v>
      </c>
      <c r="Z128" s="3">
        <v>175</v>
      </c>
      <c r="AA128" s="3">
        <v>214</v>
      </c>
      <c r="AB128" s="3">
        <v>290</v>
      </c>
      <c r="AC128" s="3">
        <v>67</v>
      </c>
      <c r="AD128" s="3">
        <v>180</v>
      </c>
      <c r="AE128" s="3">
        <v>204</v>
      </c>
      <c r="AF128" s="3">
        <v>323</v>
      </c>
      <c r="AG128" s="3">
        <v>92</v>
      </c>
      <c r="AH128" s="3">
        <v>182</v>
      </c>
      <c r="AI128" s="3">
        <v>182</v>
      </c>
      <c r="AJ128" s="3">
        <v>202</v>
      </c>
      <c r="AK128" s="3">
        <v>7</v>
      </c>
      <c r="AL128" s="3">
        <v>7</v>
      </c>
      <c r="AM128" s="3">
        <v>60</v>
      </c>
      <c r="AN128" s="3">
        <v>85</v>
      </c>
      <c r="AO128" s="3">
        <v>7</v>
      </c>
      <c r="AP128" s="3">
        <v>41</v>
      </c>
      <c r="AQ128" s="3">
        <v>135</v>
      </c>
      <c r="AR128" s="3">
        <v>168</v>
      </c>
      <c r="AS128" s="60">
        <v>45</v>
      </c>
      <c r="AT128" s="60">
        <v>92</v>
      </c>
      <c r="AU128" s="60">
        <v>157</v>
      </c>
      <c r="AV128" s="60">
        <v>207</v>
      </c>
      <c r="AW128" s="60">
        <v>31</v>
      </c>
      <c r="AX128" s="60">
        <v>80</v>
      </c>
      <c r="AY128" s="117"/>
      <c r="AZ128" s="117"/>
      <c r="BA128" s="60"/>
    </row>
    <row r="129" spans="1:55" ht="14.1" customHeight="1" outlineLevel="1" x14ac:dyDescent="0.2">
      <c r="A129" s="64"/>
      <c r="B129" s="58" t="s">
        <v>75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8</v>
      </c>
      <c r="AM129" s="3">
        <v>8</v>
      </c>
      <c r="AN129" s="3">
        <v>14</v>
      </c>
      <c r="AO129" s="3">
        <v>9.7970000000000006</v>
      </c>
      <c r="AP129" s="3">
        <v>15.557</v>
      </c>
      <c r="AQ129" s="3">
        <v>15.557</v>
      </c>
      <c r="AR129" s="3">
        <v>19</v>
      </c>
      <c r="AS129" s="3">
        <v>4</v>
      </c>
      <c r="AT129" s="3">
        <v>8</v>
      </c>
      <c r="AU129" s="3">
        <v>8</v>
      </c>
      <c r="AV129" s="60">
        <v>10</v>
      </c>
      <c r="AW129" s="60">
        <v>11</v>
      </c>
      <c r="AX129" s="60">
        <v>13</v>
      </c>
      <c r="AY129" s="117"/>
      <c r="AZ129" s="117"/>
      <c r="BA129" s="60"/>
    </row>
    <row r="130" spans="1:55" ht="14.1" customHeight="1" outlineLevel="1" x14ac:dyDescent="0.2">
      <c r="A130" s="64"/>
      <c r="B130" s="114" t="s">
        <v>223</v>
      </c>
      <c r="C130" s="117">
        <f t="shared" ref="C130:AW130" si="78">SUM(C127:C129)</f>
        <v>388</v>
      </c>
      <c r="D130" s="117">
        <f t="shared" si="78"/>
        <v>501</v>
      </c>
      <c r="E130" s="117">
        <f t="shared" si="78"/>
        <v>161</v>
      </c>
      <c r="F130" s="117">
        <f t="shared" si="78"/>
        <v>175</v>
      </c>
      <c r="G130" s="117">
        <f t="shared" si="78"/>
        <v>291</v>
      </c>
      <c r="H130" s="117">
        <f t="shared" si="78"/>
        <v>442</v>
      </c>
      <c r="I130" s="117">
        <f t="shared" si="78"/>
        <v>161</v>
      </c>
      <c r="J130" s="117">
        <f t="shared" si="78"/>
        <v>269</v>
      </c>
      <c r="K130" s="117">
        <f t="shared" si="78"/>
        <v>366</v>
      </c>
      <c r="L130" s="117">
        <f t="shared" si="78"/>
        <v>531</v>
      </c>
      <c r="M130" s="117">
        <f t="shared" si="78"/>
        <v>164</v>
      </c>
      <c r="N130" s="117">
        <f t="shared" si="78"/>
        <v>322</v>
      </c>
      <c r="O130" s="117">
        <f t="shared" si="78"/>
        <v>434</v>
      </c>
      <c r="P130" s="117">
        <f t="shared" si="78"/>
        <v>596</v>
      </c>
      <c r="Q130" s="117">
        <f t="shared" si="78"/>
        <v>161</v>
      </c>
      <c r="R130" s="117">
        <f t="shared" si="78"/>
        <v>313</v>
      </c>
      <c r="S130" s="117">
        <f t="shared" si="78"/>
        <v>443</v>
      </c>
      <c r="T130" s="117">
        <f t="shared" si="78"/>
        <v>602</v>
      </c>
      <c r="U130" s="117">
        <f t="shared" si="78"/>
        <v>152</v>
      </c>
      <c r="V130" s="117">
        <f t="shared" si="78"/>
        <v>294</v>
      </c>
      <c r="W130" s="117">
        <f t="shared" si="78"/>
        <v>431</v>
      </c>
      <c r="X130" s="117">
        <f t="shared" si="78"/>
        <v>595</v>
      </c>
      <c r="Y130" s="117">
        <f t="shared" si="78"/>
        <v>162</v>
      </c>
      <c r="Z130" s="117">
        <f t="shared" si="78"/>
        <v>297</v>
      </c>
      <c r="AA130" s="117">
        <f t="shared" si="78"/>
        <v>395</v>
      </c>
      <c r="AB130" s="117">
        <f t="shared" si="78"/>
        <v>556</v>
      </c>
      <c r="AC130" s="117">
        <f t="shared" si="78"/>
        <v>158</v>
      </c>
      <c r="AD130" s="117">
        <f t="shared" si="78"/>
        <v>300</v>
      </c>
      <c r="AE130" s="117">
        <f t="shared" si="78"/>
        <v>430</v>
      </c>
      <c r="AF130" s="117">
        <f t="shared" si="78"/>
        <v>579</v>
      </c>
      <c r="AG130" s="117">
        <f t="shared" si="78"/>
        <v>160</v>
      </c>
      <c r="AH130" s="117">
        <f t="shared" si="78"/>
        <v>312</v>
      </c>
      <c r="AI130" s="117">
        <f t="shared" si="78"/>
        <v>321</v>
      </c>
      <c r="AJ130" s="117">
        <f t="shared" si="78"/>
        <v>424</v>
      </c>
      <c r="AK130" s="117">
        <f t="shared" si="78"/>
        <v>167</v>
      </c>
      <c r="AL130" s="117">
        <f t="shared" si="78"/>
        <v>281</v>
      </c>
      <c r="AM130" s="117">
        <f t="shared" si="78"/>
        <v>418</v>
      </c>
      <c r="AN130" s="117">
        <f t="shared" si="78"/>
        <v>589</v>
      </c>
      <c r="AO130" s="117">
        <f t="shared" si="78"/>
        <v>184.797</v>
      </c>
      <c r="AP130" s="117">
        <f t="shared" si="78"/>
        <v>350.55700000000002</v>
      </c>
      <c r="AQ130" s="117">
        <f t="shared" si="78"/>
        <v>485.55700000000002</v>
      </c>
      <c r="AR130" s="117">
        <f t="shared" si="78"/>
        <v>617</v>
      </c>
      <c r="AS130" s="117">
        <f t="shared" si="78"/>
        <v>161</v>
      </c>
      <c r="AT130" s="117">
        <f t="shared" si="78"/>
        <v>327</v>
      </c>
      <c r="AU130" s="117">
        <f t="shared" si="78"/>
        <v>471</v>
      </c>
      <c r="AV130" s="117">
        <f t="shared" si="78"/>
        <v>600</v>
      </c>
      <c r="AW130" s="117">
        <f t="shared" si="78"/>
        <v>182</v>
      </c>
      <c r="AX130" s="117">
        <f>SUM(AX127:AX129)</f>
        <v>342</v>
      </c>
      <c r="AY130" s="117">
        <v>448</v>
      </c>
      <c r="AZ130" s="117">
        <v>620</v>
      </c>
      <c r="BA130" s="117">
        <v>175</v>
      </c>
      <c r="BB130" s="117">
        <v>344</v>
      </c>
      <c r="BC130" s="117">
        <v>458</v>
      </c>
    </row>
    <row r="131" spans="1:55" ht="14.1" customHeight="1" outlineLevel="1" x14ac:dyDescent="0.2">
      <c r="A131" s="64"/>
      <c r="B131" s="58" t="s">
        <v>5</v>
      </c>
      <c r="C131" s="60">
        <v>515</v>
      </c>
      <c r="D131" s="3">
        <v>585</v>
      </c>
      <c r="E131" s="3">
        <v>59</v>
      </c>
      <c r="F131" s="3">
        <v>146</v>
      </c>
      <c r="G131" s="3">
        <v>341</v>
      </c>
      <c r="H131" s="3">
        <v>477</v>
      </c>
      <c r="I131" s="3">
        <v>155</v>
      </c>
      <c r="J131" s="3">
        <v>304</v>
      </c>
      <c r="K131" s="3">
        <v>523</v>
      </c>
      <c r="L131" s="3">
        <v>687</v>
      </c>
      <c r="M131" s="3">
        <v>152</v>
      </c>
      <c r="N131" s="3">
        <v>324</v>
      </c>
      <c r="O131" s="3">
        <v>513</v>
      </c>
      <c r="P131" s="3">
        <v>643</v>
      </c>
      <c r="Q131" s="3">
        <v>113</v>
      </c>
      <c r="R131" s="3">
        <v>324</v>
      </c>
      <c r="S131" s="3">
        <v>517</v>
      </c>
      <c r="T131" s="3">
        <v>665</v>
      </c>
      <c r="U131" s="3">
        <v>175</v>
      </c>
      <c r="V131" s="3">
        <v>361</v>
      </c>
      <c r="W131" s="3">
        <v>547</v>
      </c>
      <c r="X131" s="3">
        <v>656</v>
      </c>
      <c r="Y131" s="3">
        <v>215</v>
      </c>
      <c r="Z131" s="3">
        <v>417</v>
      </c>
      <c r="AA131" s="3">
        <v>588</v>
      </c>
      <c r="AB131" s="3">
        <v>775</v>
      </c>
      <c r="AC131" s="3">
        <v>178</v>
      </c>
      <c r="AD131" s="3">
        <v>338</v>
      </c>
      <c r="AE131" s="3">
        <v>526</v>
      </c>
      <c r="AF131" s="3">
        <v>679</v>
      </c>
      <c r="AG131" s="3">
        <v>193</v>
      </c>
      <c r="AH131" s="3">
        <v>361</v>
      </c>
      <c r="AI131" s="3">
        <v>532</v>
      </c>
      <c r="AJ131" s="3">
        <v>715</v>
      </c>
      <c r="AK131" s="3">
        <v>233</v>
      </c>
      <c r="AL131" s="3">
        <v>424</v>
      </c>
      <c r="AM131" s="3">
        <v>593</v>
      </c>
      <c r="AN131" s="3">
        <v>778</v>
      </c>
      <c r="AO131" s="3">
        <v>221</v>
      </c>
      <c r="AP131" s="94">
        <v>432</v>
      </c>
      <c r="AQ131" s="94">
        <v>625</v>
      </c>
      <c r="AR131" s="94">
        <v>741</v>
      </c>
      <c r="AS131" s="72">
        <v>240</v>
      </c>
      <c r="AT131" s="72">
        <v>462</v>
      </c>
      <c r="AU131" s="72">
        <v>687</v>
      </c>
      <c r="AV131" s="60">
        <v>851</v>
      </c>
      <c r="AW131" s="60">
        <v>239</v>
      </c>
      <c r="AX131" s="60">
        <v>427</v>
      </c>
      <c r="AY131" s="117"/>
      <c r="AZ131" s="117"/>
      <c r="BA131" s="60"/>
    </row>
    <row r="132" spans="1:55" ht="14.1" customHeight="1" outlineLevel="1" x14ac:dyDescent="0.2">
      <c r="A132" s="64"/>
      <c r="B132" s="58" t="s">
        <v>225</v>
      </c>
      <c r="C132" s="60">
        <v>32</v>
      </c>
      <c r="D132" s="3">
        <v>37</v>
      </c>
      <c r="E132" s="3">
        <v>11</v>
      </c>
      <c r="F132" s="3">
        <v>40</v>
      </c>
      <c r="G132" s="3">
        <v>133</v>
      </c>
      <c r="H132" s="3">
        <v>191</v>
      </c>
      <c r="I132" s="3">
        <v>47</v>
      </c>
      <c r="J132" s="3">
        <v>101</v>
      </c>
      <c r="K132" s="3">
        <v>189</v>
      </c>
      <c r="L132" s="3">
        <v>230</v>
      </c>
      <c r="M132" s="3">
        <v>25</v>
      </c>
      <c r="N132" s="3">
        <v>74</v>
      </c>
      <c r="O132" s="3">
        <v>130</v>
      </c>
      <c r="P132" s="3">
        <v>147</v>
      </c>
      <c r="Q132" s="3">
        <v>27</v>
      </c>
      <c r="R132" s="3">
        <v>78</v>
      </c>
      <c r="S132" s="3">
        <v>126</v>
      </c>
      <c r="T132" s="3">
        <v>156</v>
      </c>
      <c r="U132" s="3">
        <v>24</v>
      </c>
      <c r="V132" s="3">
        <v>66</v>
      </c>
      <c r="W132" s="3">
        <v>131</v>
      </c>
      <c r="X132" s="3">
        <v>158</v>
      </c>
      <c r="Y132" s="3">
        <v>24</v>
      </c>
      <c r="Z132" s="3">
        <v>71</v>
      </c>
      <c r="AA132" s="3">
        <v>139</v>
      </c>
      <c r="AB132" s="3">
        <v>157</v>
      </c>
      <c r="AC132" s="3">
        <v>16</v>
      </c>
      <c r="AD132" s="3">
        <v>57</v>
      </c>
      <c r="AE132" s="3">
        <v>87</v>
      </c>
      <c r="AF132" s="3">
        <v>115</v>
      </c>
      <c r="AG132" s="3">
        <v>23</v>
      </c>
      <c r="AH132" s="3">
        <v>56</v>
      </c>
      <c r="AI132" s="3">
        <v>115</v>
      </c>
      <c r="AJ132" s="3">
        <v>158</v>
      </c>
      <c r="AK132" s="3">
        <v>32</v>
      </c>
      <c r="AL132" s="3">
        <v>85</v>
      </c>
      <c r="AM132" s="3">
        <v>162</v>
      </c>
      <c r="AN132" s="3">
        <v>209</v>
      </c>
      <c r="AO132" s="3">
        <v>22</v>
      </c>
      <c r="AP132" s="3">
        <v>82</v>
      </c>
      <c r="AQ132" s="3">
        <v>172</v>
      </c>
      <c r="AR132" s="3">
        <v>232</v>
      </c>
      <c r="AS132" s="60">
        <v>27</v>
      </c>
      <c r="AT132" s="60">
        <v>104</v>
      </c>
      <c r="AU132" s="60">
        <v>169</v>
      </c>
      <c r="AV132" s="60">
        <v>210</v>
      </c>
      <c r="AW132" s="60">
        <v>44</v>
      </c>
      <c r="AX132" s="60">
        <v>123</v>
      </c>
      <c r="AY132" s="117"/>
      <c r="AZ132" s="117"/>
      <c r="BA132" s="60"/>
    </row>
    <row r="133" spans="1:55" ht="14.1" customHeight="1" outlineLevel="1" x14ac:dyDescent="0.2">
      <c r="A133" s="64"/>
      <c r="B133" s="115" t="s">
        <v>224</v>
      </c>
      <c r="C133" s="117">
        <f t="shared" ref="C133:AW133" si="79">SUM(C131:C132)</f>
        <v>547</v>
      </c>
      <c r="D133" s="117">
        <f t="shared" si="79"/>
        <v>622</v>
      </c>
      <c r="E133" s="117">
        <f t="shared" si="79"/>
        <v>70</v>
      </c>
      <c r="F133" s="117">
        <f t="shared" si="79"/>
        <v>186</v>
      </c>
      <c r="G133" s="117">
        <f t="shared" si="79"/>
        <v>474</v>
      </c>
      <c r="H133" s="117">
        <f t="shared" si="79"/>
        <v>668</v>
      </c>
      <c r="I133" s="117">
        <f t="shared" si="79"/>
        <v>202</v>
      </c>
      <c r="J133" s="117">
        <f t="shared" si="79"/>
        <v>405</v>
      </c>
      <c r="K133" s="117">
        <f t="shared" si="79"/>
        <v>712</v>
      </c>
      <c r="L133" s="117">
        <f t="shared" si="79"/>
        <v>917</v>
      </c>
      <c r="M133" s="117">
        <f t="shared" si="79"/>
        <v>177</v>
      </c>
      <c r="N133" s="117">
        <f t="shared" si="79"/>
        <v>398</v>
      </c>
      <c r="O133" s="117">
        <f t="shared" si="79"/>
        <v>643</v>
      </c>
      <c r="P133" s="117">
        <f t="shared" si="79"/>
        <v>790</v>
      </c>
      <c r="Q133" s="117">
        <f t="shared" si="79"/>
        <v>140</v>
      </c>
      <c r="R133" s="117">
        <f t="shared" si="79"/>
        <v>402</v>
      </c>
      <c r="S133" s="117">
        <f t="shared" si="79"/>
        <v>643</v>
      </c>
      <c r="T133" s="117">
        <f t="shared" si="79"/>
        <v>821</v>
      </c>
      <c r="U133" s="117">
        <f t="shared" si="79"/>
        <v>199</v>
      </c>
      <c r="V133" s="117">
        <f t="shared" si="79"/>
        <v>427</v>
      </c>
      <c r="W133" s="117">
        <f t="shared" si="79"/>
        <v>678</v>
      </c>
      <c r="X133" s="117">
        <f t="shared" si="79"/>
        <v>814</v>
      </c>
      <c r="Y133" s="117">
        <f t="shared" si="79"/>
        <v>239</v>
      </c>
      <c r="Z133" s="117">
        <f t="shared" si="79"/>
        <v>488</v>
      </c>
      <c r="AA133" s="117">
        <f t="shared" si="79"/>
        <v>727</v>
      </c>
      <c r="AB133" s="117">
        <f t="shared" si="79"/>
        <v>932</v>
      </c>
      <c r="AC133" s="117">
        <f t="shared" si="79"/>
        <v>194</v>
      </c>
      <c r="AD133" s="117">
        <f t="shared" si="79"/>
        <v>395</v>
      </c>
      <c r="AE133" s="117">
        <f t="shared" si="79"/>
        <v>613</v>
      </c>
      <c r="AF133" s="117">
        <f t="shared" si="79"/>
        <v>794</v>
      </c>
      <c r="AG133" s="117">
        <f t="shared" si="79"/>
        <v>216</v>
      </c>
      <c r="AH133" s="117">
        <f t="shared" si="79"/>
        <v>417</v>
      </c>
      <c r="AI133" s="117">
        <f t="shared" si="79"/>
        <v>647</v>
      </c>
      <c r="AJ133" s="117">
        <f t="shared" si="79"/>
        <v>873</v>
      </c>
      <c r="AK133" s="117">
        <f t="shared" si="79"/>
        <v>265</v>
      </c>
      <c r="AL133" s="117">
        <f t="shared" si="79"/>
        <v>509</v>
      </c>
      <c r="AM133" s="117">
        <f t="shared" si="79"/>
        <v>755</v>
      </c>
      <c r="AN133" s="117">
        <f t="shared" si="79"/>
        <v>987</v>
      </c>
      <c r="AO133" s="117">
        <f t="shared" si="79"/>
        <v>243</v>
      </c>
      <c r="AP133" s="117">
        <f t="shared" si="79"/>
        <v>514</v>
      </c>
      <c r="AQ133" s="117">
        <f t="shared" si="79"/>
        <v>797</v>
      </c>
      <c r="AR133" s="117">
        <f t="shared" si="79"/>
        <v>973</v>
      </c>
      <c r="AS133" s="117">
        <f t="shared" si="79"/>
        <v>267</v>
      </c>
      <c r="AT133" s="117">
        <f t="shared" si="79"/>
        <v>566</v>
      </c>
      <c r="AU133" s="117">
        <f t="shared" si="79"/>
        <v>856</v>
      </c>
      <c r="AV133" s="117">
        <f t="shared" si="79"/>
        <v>1061</v>
      </c>
      <c r="AW133" s="117">
        <f t="shared" si="79"/>
        <v>283</v>
      </c>
      <c r="AX133" s="117">
        <f>SUM(AX131:AX132)</f>
        <v>550</v>
      </c>
      <c r="AY133" s="117">
        <v>816</v>
      </c>
      <c r="AZ133" s="99">
        <v>1124</v>
      </c>
      <c r="BA133" s="117">
        <v>268</v>
      </c>
      <c r="BB133" s="117">
        <v>482</v>
      </c>
      <c r="BC133" s="117">
        <v>738</v>
      </c>
    </row>
    <row r="134" spans="1:55" ht="14.1" customHeight="1" outlineLevel="1" x14ac:dyDescent="0.2">
      <c r="A134" s="64"/>
      <c r="B134" s="58" t="s">
        <v>191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>
        <v>7</v>
      </c>
      <c r="AP134" s="3">
        <v>10</v>
      </c>
      <c r="AQ134" s="3">
        <v>12</v>
      </c>
      <c r="AR134" s="3">
        <v>14</v>
      </c>
      <c r="AS134" s="3">
        <v>2</v>
      </c>
      <c r="AT134" s="3">
        <v>5</v>
      </c>
      <c r="AU134" s="3">
        <v>10</v>
      </c>
      <c r="AV134" s="60">
        <v>18</v>
      </c>
      <c r="AW134" s="60">
        <v>13</v>
      </c>
      <c r="AX134" s="60">
        <v>14</v>
      </c>
      <c r="AY134" s="117"/>
      <c r="AZ134" s="117"/>
      <c r="BA134" s="60"/>
    </row>
    <row r="135" spans="1:55" ht="14.1" customHeight="1" outlineLevel="1" x14ac:dyDescent="0.2">
      <c r="A135" s="64"/>
      <c r="B135" s="116" t="s">
        <v>148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17">
        <f t="shared" ref="AO135:AT135" si="80">SUM(AO134)</f>
        <v>7</v>
      </c>
      <c r="AP135" s="117">
        <f t="shared" si="80"/>
        <v>10</v>
      </c>
      <c r="AQ135" s="117">
        <f t="shared" si="80"/>
        <v>12</v>
      </c>
      <c r="AR135" s="117">
        <f t="shared" si="80"/>
        <v>14</v>
      </c>
      <c r="AS135" s="117">
        <f t="shared" si="80"/>
        <v>2</v>
      </c>
      <c r="AT135" s="117">
        <f t="shared" si="80"/>
        <v>5</v>
      </c>
      <c r="AU135" s="99">
        <v>13</v>
      </c>
      <c r="AV135" s="117">
        <f>SUM(AV134)</f>
        <v>18</v>
      </c>
      <c r="AW135" s="117">
        <f>SUM(AW134)</f>
        <v>13</v>
      </c>
      <c r="AX135" s="117">
        <f>SUM(AX134)</f>
        <v>14</v>
      </c>
      <c r="AY135" s="117">
        <v>34</v>
      </c>
      <c r="AZ135" s="117">
        <v>46</v>
      </c>
      <c r="BA135" s="117">
        <v>24</v>
      </c>
      <c r="BB135" s="117">
        <v>44</v>
      </c>
      <c r="BC135" s="117">
        <v>62</v>
      </c>
    </row>
    <row r="136" spans="1:55" ht="14.1" customHeight="1" outlineLevel="1" x14ac:dyDescent="0.2">
      <c r="A136" s="64"/>
      <c r="B136" s="6" t="s">
        <v>76</v>
      </c>
      <c r="C136" s="25">
        <v>0.73</v>
      </c>
      <c r="D136" s="25">
        <v>0.66</v>
      </c>
      <c r="E136" s="25">
        <v>0.55000000000000004</v>
      </c>
      <c r="F136" s="25">
        <v>0.42</v>
      </c>
      <c r="G136" s="25">
        <v>0.61</v>
      </c>
      <c r="H136" s="25">
        <v>0.67</v>
      </c>
      <c r="I136" s="25">
        <v>0.88</v>
      </c>
      <c r="J136" s="25">
        <v>0.82</v>
      </c>
      <c r="K136" s="25">
        <v>0.87</v>
      </c>
      <c r="L136" s="25">
        <v>0.88</v>
      </c>
      <c r="M136" s="25">
        <v>0.82</v>
      </c>
      <c r="N136" s="25">
        <v>0.81</v>
      </c>
      <c r="O136" s="25">
        <v>0.81</v>
      </c>
      <c r="P136" s="25">
        <v>0.81</v>
      </c>
      <c r="Q136" s="25">
        <v>0.69</v>
      </c>
      <c r="R136" s="25">
        <v>0.81</v>
      </c>
      <c r="S136" s="25">
        <v>0.81</v>
      </c>
      <c r="T136" s="25">
        <v>0.83</v>
      </c>
      <c r="U136" s="25">
        <v>0.8</v>
      </c>
      <c r="V136" s="25">
        <v>0.83</v>
      </c>
      <c r="W136" s="25">
        <v>0.84</v>
      </c>
      <c r="X136" s="25">
        <v>0.83</v>
      </c>
      <c r="Y136" s="25">
        <v>0.89</v>
      </c>
      <c r="Z136" s="25">
        <v>0.88</v>
      </c>
      <c r="AA136" s="25">
        <v>0.84</v>
      </c>
      <c r="AB136" s="25">
        <v>0.86</v>
      </c>
      <c r="AC136" s="25">
        <v>0.78</v>
      </c>
      <c r="AD136" s="25">
        <v>0.79</v>
      </c>
      <c r="AE136" s="25">
        <v>0.77</v>
      </c>
      <c r="AF136" s="25">
        <v>0.78</v>
      </c>
      <c r="AG136" s="25">
        <v>0.83</v>
      </c>
      <c r="AH136" s="25">
        <v>0.79</v>
      </c>
      <c r="AI136" s="25">
        <v>0.72</v>
      </c>
      <c r="AJ136" s="25">
        <v>0.69</v>
      </c>
      <c r="AK136" s="25">
        <v>0.88</v>
      </c>
      <c r="AL136" s="25">
        <v>0.79</v>
      </c>
      <c r="AM136" s="25">
        <v>0.8</v>
      </c>
      <c r="AN136" s="25">
        <v>0.83</v>
      </c>
      <c r="AO136" s="25">
        <v>0.88</v>
      </c>
      <c r="AP136" s="25">
        <v>0.89</v>
      </c>
      <c r="AQ136" s="25">
        <v>0.89</v>
      </c>
      <c r="AR136" s="25">
        <v>0.86</v>
      </c>
      <c r="AS136" s="25">
        <v>0.88</v>
      </c>
      <c r="AT136" s="25">
        <v>0.92</v>
      </c>
      <c r="AU136" s="25">
        <v>0.91</v>
      </c>
      <c r="AV136" s="25">
        <v>0.89</v>
      </c>
      <c r="AW136" s="25">
        <v>0.98</v>
      </c>
      <c r="AX136" s="25">
        <v>0.92</v>
      </c>
      <c r="AY136" s="25">
        <v>0.86</v>
      </c>
      <c r="AZ136" s="66">
        <v>0.93</v>
      </c>
      <c r="BA136" s="25">
        <v>0.94</v>
      </c>
      <c r="BB136" s="25">
        <v>0.88</v>
      </c>
      <c r="BC136" s="25">
        <v>0.85</v>
      </c>
    </row>
    <row r="137" spans="1:55" ht="14.1" customHeight="1" outlineLevel="1" x14ac:dyDescent="0.2">
      <c r="A137" s="64"/>
      <c r="B137" s="22" t="s">
        <v>77</v>
      </c>
      <c r="C137" s="23">
        <f t="shared" ref="C137:AX137" si="81">C142+C145+C146</f>
        <v>239</v>
      </c>
      <c r="D137" s="23">
        <f t="shared" si="81"/>
        <v>298</v>
      </c>
      <c r="E137" s="23">
        <f t="shared" si="81"/>
        <v>126</v>
      </c>
      <c r="F137" s="23">
        <f t="shared" si="81"/>
        <v>260</v>
      </c>
      <c r="G137" s="23">
        <f t="shared" si="81"/>
        <v>340</v>
      </c>
      <c r="H137" s="23">
        <f t="shared" si="81"/>
        <v>563</v>
      </c>
      <c r="I137" s="23">
        <f t="shared" si="81"/>
        <v>70</v>
      </c>
      <c r="J137" s="23">
        <f t="shared" si="81"/>
        <v>118</v>
      </c>
      <c r="K137" s="23">
        <f t="shared" si="81"/>
        <v>159</v>
      </c>
      <c r="L137" s="23">
        <f t="shared" si="81"/>
        <v>237</v>
      </c>
      <c r="M137" s="23">
        <f t="shared" si="81"/>
        <v>58</v>
      </c>
      <c r="N137" s="23">
        <f t="shared" si="81"/>
        <v>124</v>
      </c>
      <c r="O137" s="23">
        <f t="shared" si="81"/>
        <v>151</v>
      </c>
      <c r="P137" s="23">
        <f t="shared" si="81"/>
        <v>219</v>
      </c>
      <c r="Q137" s="23">
        <f t="shared" si="81"/>
        <v>67</v>
      </c>
      <c r="R137" s="23">
        <f t="shared" si="81"/>
        <v>123</v>
      </c>
      <c r="S137" s="23">
        <f t="shared" si="81"/>
        <v>132</v>
      </c>
      <c r="T137" s="23">
        <f t="shared" si="81"/>
        <v>173</v>
      </c>
      <c r="U137" s="23">
        <f t="shared" si="81"/>
        <v>33</v>
      </c>
      <c r="V137" s="23">
        <f t="shared" si="81"/>
        <v>109</v>
      </c>
      <c r="W137" s="23">
        <f t="shared" si="81"/>
        <v>129</v>
      </c>
      <c r="X137" s="23">
        <f t="shared" si="81"/>
        <v>188</v>
      </c>
      <c r="Y137" s="23">
        <f t="shared" si="81"/>
        <v>64</v>
      </c>
      <c r="Z137" s="23">
        <f t="shared" si="81"/>
        <v>147</v>
      </c>
      <c r="AA137" s="23">
        <f t="shared" si="81"/>
        <v>162</v>
      </c>
      <c r="AB137" s="23">
        <f t="shared" si="81"/>
        <v>360</v>
      </c>
      <c r="AC137" s="23">
        <f t="shared" si="81"/>
        <v>75</v>
      </c>
      <c r="AD137" s="23">
        <f t="shared" si="81"/>
        <v>140</v>
      </c>
      <c r="AE137" s="23">
        <f t="shared" si="81"/>
        <v>176</v>
      </c>
      <c r="AF137" s="23">
        <f t="shared" si="81"/>
        <v>232</v>
      </c>
      <c r="AG137" s="23">
        <f t="shared" si="81"/>
        <v>101</v>
      </c>
      <c r="AH137" s="23">
        <f t="shared" si="81"/>
        <v>165</v>
      </c>
      <c r="AI137" s="23">
        <f t="shared" si="81"/>
        <v>265</v>
      </c>
      <c r="AJ137" s="23">
        <f t="shared" si="81"/>
        <v>385</v>
      </c>
      <c r="AK137" s="23">
        <f t="shared" si="81"/>
        <v>201</v>
      </c>
      <c r="AL137" s="23">
        <f t="shared" si="81"/>
        <v>357</v>
      </c>
      <c r="AM137" s="23">
        <f t="shared" si="81"/>
        <v>454</v>
      </c>
      <c r="AN137" s="23">
        <f t="shared" si="81"/>
        <v>557</v>
      </c>
      <c r="AO137" s="23">
        <f t="shared" si="81"/>
        <v>218</v>
      </c>
      <c r="AP137" s="23">
        <f t="shared" si="81"/>
        <v>316</v>
      </c>
      <c r="AQ137" s="23">
        <f t="shared" si="81"/>
        <v>376</v>
      </c>
      <c r="AR137" s="23">
        <f t="shared" si="81"/>
        <v>438</v>
      </c>
      <c r="AS137" s="23">
        <f t="shared" si="81"/>
        <v>156</v>
      </c>
      <c r="AT137" s="23">
        <f t="shared" si="81"/>
        <v>325</v>
      </c>
      <c r="AU137" s="23">
        <f t="shared" si="81"/>
        <v>532</v>
      </c>
      <c r="AV137" s="23">
        <f t="shared" si="81"/>
        <v>562</v>
      </c>
      <c r="AW137" s="23">
        <f t="shared" si="81"/>
        <v>177</v>
      </c>
      <c r="AX137" s="23">
        <f t="shared" si="81"/>
        <v>331</v>
      </c>
      <c r="AY137" s="23">
        <f>AY142+AY145+AY146</f>
        <v>450</v>
      </c>
      <c r="AZ137" s="23">
        <f>AZ142+AZ145+AZ146</f>
        <v>577</v>
      </c>
      <c r="BA137" s="23">
        <f>BA142+BA145+BA146</f>
        <v>152</v>
      </c>
      <c r="BB137" s="23">
        <f>BB142+BB145+BB146</f>
        <v>285</v>
      </c>
      <c r="BC137" s="23">
        <f>BC142+BC145+BC146</f>
        <v>427</v>
      </c>
    </row>
    <row r="138" spans="1:55" ht="14.1" customHeight="1" outlineLevel="1" x14ac:dyDescent="0.2">
      <c r="A138" s="64"/>
      <c r="B138" s="109" t="s">
        <v>3</v>
      </c>
      <c r="C138" s="60">
        <v>47</v>
      </c>
      <c r="D138" s="60">
        <v>63</v>
      </c>
      <c r="E138" s="3">
        <v>11</v>
      </c>
      <c r="F138" s="3">
        <v>26</v>
      </c>
      <c r="G138" s="3">
        <v>31</v>
      </c>
      <c r="H138" s="3">
        <v>69</v>
      </c>
      <c r="I138" s="3">
        <v>32</v>
      </c>
      <c r="J138" s="3">
        <v>40</v>
      </c>
      <c r="K138" s="3">
        <v>51</v>
      </c>
      <c r="L138" s="3">
        <v>71</v>
      </c>
      <c r="M138" s="3">
        <v>27</v>
      </c>
      <c r="N138" s="3">
        <v>51</v>
      </c>
      <c r="O138" s="3">
        <v>64</v>
      </c>
      <c r="P138" s="3">
        <v>80</v>
      </c>
      <c r="Q138" s="3">
        <v>28</v>
      </c>
      <c r="R138" s="3">
        <v>58</v>
      </c>
      <c r="S138" s="3">
        <v>58</v>
      </c>
      <c r="T138" s="3">
        <v>62</v>
      </c>
      <c r="U138" s="3">
        <v>23</v>
      </c>
      <c r="V138" s="3">
        <v>45</v>
      </c>
      <c r="W138" s="3">
        <v>49</v>
      </c>
      <c r="X138" s="3">
        <v>64</v>
      </c>
      <c r="Y138" s="3">
        <v>16</v>
      </c>
      <c r="Z138" s="3">
        <v>44</v>
      </c>
      <c r="AA138" s="3">
        <v>51</v>
      </c>
      <c r="AB138" s="3">
        <v>76</v>
      </c>
      <c r="AC138" s="3">
        <v>16</v>
      </c>
      <c r="AD138" s="3">
        <v>33</v>
      </c>
      <c r="AE138" s="3">
        <v>47</v>
      </c>
      <c r="AF138" s="3">
        <v>47</v>
      </c>
      <c r="AG138" s="3">
        <v>42</v>
      </c>
      <c r="AH138" s="3">
        <v>42</v>
      </c>
      <c r="AI138" s="3">
        <v>42</v>
      </c>
      <c r="AJ138" s="3">
        <v>85</v>
      </c>
      <c r="AK138" s="3">
        <v>78</v>
      </c>
      <c r="AL138" s="3">
        <v>149</v>
      </c>
      <c r="AM138" s="3">
        <v>202</v>
      </c>
      <c r="AN138" s="3">
        <v>256</v>
      </c>
      <c r="AO138" s="3">
        <v>97</v>
      </c>
      <c r="AP138" s="3">
        <v>117</v>
      </c>
      <c r="AQ138" s="3">
        <v>137</v>
      </c>
      <c r="AR138" s="3">
        <v>163</v>
      </c>
      <c r="AS138" s="60">
        <v>65</v>
      </c>
      <c r="AT138" s="60">
        <v>119</v>
      </c>
      <c r="AU138" s="60">
        <v>136</v>
      </c>
      <c r="AV138" s="60">
        <v>144</v>
      </c>
      <c r="AW138" s="60">
        <v>84</v>
      </c>
      <c r="AX138" s="60">
        <v>133</v>
      </c>
    </row>
    <row r="139" spans="1:55" ht="14.1" customHeight="1" outlineLevel="1" x14ac:dyDescent="0.2">
      <c r="A139" s="64"/>
      <c r="B139" s="109" t="s">
        <v>78</v>
      </c>
      <c r="C139" s="60">
        <v>102</v>
      </c>
      <c r="D139" s="60">
        <v>120</v>
      </c>
      <c r="E139" s="3">
        <v>61</v>
      </c>
      <c r="F139" s="3">
        <v>99</v>
      </c>
      <c r="G139" s="3">
        <v>125</v>
      </c>
      <c r="H139" s="3">
        <v>217</v>
      </c>
      <c r="I139" s="3">
        <v>36</v>
      </c>
      <c r="J139" s="3">
        <v>76</v>
      </c>
      <c r="K139" s="3">
        <v>97</v>
      </c>
      <c r="L139" s="3">
        <v>134</v>
      </c>
      <c r="M139" s="3">
        <v>20</v>
      </c>
      <c r="N139" s="3">
        <v>62</v>
      </c>
      <c r="O139" s="3">
        <v>71</v>
      </c>
      <c r="P139" s="3">
        <v>94</v>
      </c>
      <c r="Q139" s="3">
        <v>18</v>
      </c>
      <c r="R139" s="3">
        <v>43</v>
      </c>
      <c r="S139" s="3">
        <v>52</v>
      </c>
      <c r="T139" s="3">
        <v>87</v>
      </c>
      <c r="U139" s="3">
        <v>10</v>
      </c>
      <c r="V139" s="3">
        <v>53</v>
      </c>
      <c r="W139" s="3">
        <v>67</v>
      </c>
      <c r="X139" s="3">
        <v>94</v>
      </c>
      <c r="Y139" s="3">
        <v>28</v>
      </c>
      <c r="Z139" s="3">
        <v>83</v>
      </c>
      <c r="AA139" s="3">
        <v>91</v>
      </c>
      <c r="AB139" s="3">
        <v>144</v>
      </c>
      <c r="AC139" s="3">
        <v>53</v>
      </c>
      <c r="AD139" s="3">
        <v>101</v>
      </c>
      <c r="AE139" s="3">
        <v>123</v>
      </c>
      <c r="AF139" s="3">
        <v>179</v>
      </c>
      <c r="AG139" s="3">
        <v>59</v>
      </c>
      <c r="AH139" s="3">
        <v>123</v>
      </c>
      <c r="AI139" s="3">
        <v>177</v>
      </c>
      <c r="AJ139" s="3">
        <v>238</v>
      </c>
      <c r="AK139" s="3">
        <v>123</v>
      </c>
      <c r="AL139" s="3">
        <v>208</v>
      </c>
      <c r="AM139" s="3">
        <v>252</v>
      </c>
      <c r="AN139" s="3">
        <v>279</v>
      </c>
      <c r="AO139" s="3">
        <v>121</v>
      </c>
      <c r="AP139" s="3">
        <v>199</v>
      </c>
      <c r="AQ139" s="3">
        <v>239</v>
      </c>
      <c r="AR139" s="3">
        <v>275</v>
      </c>
      <c r="AS139" s="60">
        <v>90</v>
      </c>
      <c r="AT139" s="60">
        <v>205</v>
      </c>
      <c r="AU139" s="60">
        <v>358</v>
      </c>
      <c r="AV139" s="60">
        <v>380</v>
      </c>
      <c r="AW139" s="60">
        <v>93</v>
      </c>
      <c r="AX139" s="60">
        <v>198</v>
      </c>
    </row>
    <row r="140" spans="1:55" ht="14.1" customHeight="1" outlineLevel="1" x14ac:dyDescent="0.2">
      <c r="A140" s="64"/>
      <c r="B140" s="109" t="s">
        <v>2</v>
      </c>
      <c r="C140" s="60">
        <v>8</v>
      </c>
      <c r="D140" s="60">
        <v>8</v>
      </c>
      <c r="E140" s="3">
        <v>0</v>
      </c>
      <c r="F140" s="3">
        <v>24</v>
      </c>
      <c r="G140" s="3">
        <v>32</v>
      </c>
      <c r="H140" s="3">
        <v>32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</row>
    <row r="141" spans="1:55" ht="14.1" customHeight="1" outlineLevel="1" x14ac:dyDescent="0.2">
      <c r="A141" s="64"/>
      <c r="B141" s="109" t="s">
        <v>0</v>
      </c>
      <c r="C141" s="60">
        <v>70</v>
      </c>
      <c r="D141" s="60">
        <v>95</v>
      </c>
      <c r="E141" s="3">
        <v>35</v>
      </c>
      <c r="F141" s="3">
        <v>78</v>
      </c>
      <c r="G141" s="3">
        <v>100</v>
      </c>
      <c r="H141" s="3">
        <v>188</v>
      </c>
      <c r="I141" s="3">
        <v>0</v>
      </c>
      <c r="J141" s="3">
        <v>0</v>
      </c>
      <c r="K141" s="3">
        <v>9</v>
      </c>
      <c r="L141" s="3">
        <v>30</v>
      </c>
      <c r="M141" s="3">
        <v>10</v>
      </c>
      <c r="N141" s="3">
        <v>10</v>
      </c>
      <c r="O141" s="3">
        <v>10</v>
      </c>
      <c r="P141" s="3">
        <v>37</v>
      </c>
      <c r="Q141" s="3">
        <v>19</v>
      </c>
      <c r="R141" s="3">
        <v>19</v>
      </c>
      <c r="S141" s="3">
        <v>19</v>
      </c>
      <c r="T141" s="3">
        <v>19</v>
      </c>
      <c r="U141" s="3">
        <v>0</v>
      </c>
      <c r="V141" s="3">
        <v>10</v>
      </c>
      <c r="W141" s="3">
        <v>10</v>
      </c>
      <c r="X141" s="3">
        <v>27</v>
      </c>
      <c r="Y141" s="3">
        <v>20</v>
      </c>
      <c r="Z141" s="3">
        <v>20</v>
      </c>
      <c r="AA141" s="3">
        <v>20</v>
      </c>
      <c r="AB141" s="3">
        <v>95</v>
      </c>
      <c r="AC141" s="3">
        <v>6</v>
      </c>
      <c r="AD141" s="3">
        <v>6</v>
      </c>
      <c r="AE141" s="3">
        <v>6</v>
      </c>
      <c r="AF141" s="3">
        <v>6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</row>
    <row r="142" spans="1:55" ht="14.1" customHeight="1" outlineLevel="1" x14ac:dyDescent="0.2">
      <c r="A142" s="64"/>
      <c r="B142" s="114" t="s">
        <v>223</v>
      </c>
      <c r="C142" s="99">
        <f t="shared" ref="C142:AT142" si="82">SUM(C138:C141)</f>
        <v>227</v>
      </c>
      <c r="D142" s="99">
        <f t="shared" si="82"/>
        <v>286</v>
      </c>
      <c r="E142" s="99">
        <f t="shared" si="82"/>
        <v>107</v>
      </c>
      <c r="F142" s="99">
        <f t="shared" si="82"/>
        <v>227</v>
      </c>
      <c r="G142" s="99">
        <f t="shared" si="82"/>
        <v>288</v>
      </c>
      <c r="H142" s="99">
        <f t="shared" si="82"/>
        <v>506</v>
      </c>
      <c r="I142" s="99">
        <f t="shared" si="82"/>
        <v>68</v>
      </c>
      <c r="J142" s="99">
        <f t="shared" si="82"/>
        <v>116</v>
      </c>
      <c r="K142" s="99">
        <f t="shared" si="82"/>
        <v>157</v>
      </c>
      <c r="L142" s="99">
        <f t="shared" si="82"/>
        <v>235</v>
      </c>
      <c r="M142" s="99">
        <f t="shared" si="82"/>
        <v>57</v>
      </c>
      <c r="N142" s="99">
        <f t="shared" si="82"/>
        <v>123</v>
      </c>
      <c r="O142" s="99">
        <f t="shared" si="82"/>
        <v>145</v>
      </c>
      <c r="P142" s="99">
        <f t="shared" si="82"/>
        <v>211</v>
      </c>
      <c r="Q142" s="99">
        <f t="shared" si="82"/>
        <v>65</v>
      </c>
      <c r="R142" s="99">
        <f t="shared" si="82"/>
        <v>120</v>
      </c>
      <c r="S142" s="99">
        <f t="shared" si="82"/>
        <v>129</v>
      </c>
      <c r="T142" s="99">
        <f t="shared" si="82"/>
        <v>168</v>
      </c>
      <c r="U142" s="99">
        <f t="shared" si="82"/>
        <v>33</v>
      </c>
      <c r="V142" s="99">
        <f t="shared" si="82"/>
        <v>108</v>
      </c>
      <c r="W142" s="99">
        <f t="shared" si="82"/>
        <v>126</v>
      </c>
      <c r="X142" s="99">
        <f t="shared" si="82"/>
        <v>185</v>
      </c>
      <c r="Y142" s="99">
        <f t="shared" si="82"/>
        <v>64</v>
      </c>
      <c r="Z142" s="99">
        <f t="shared" si="82"/>
        <v>147</v>
      </c>
      <c r="AA142" s="99">
        <f t="shared" si="82"/>
        <v>162</v>
      </c>
      <c r="AB142" s="99">
        <f t="shared" si="82"/>
        <v>315</v>
      </c>
      <c r="AC142" s="99">
        <f t="shared" si="82"/>
        <v>75</v>
      </c>
      <c r="AD142" s="99">
        <f t="shared" si="82"/>
        <v>140</v>
      </c>
      <c r="AE142" s="99">
        <f t="shared" si="82"/>
        <v>176</v>
      </c>
      <c r="AF142" s="99">
        <f t="shared" si="82"/>
        <v>232</v>
      </c>
      <c r="AG142" s="99">
        <f t="shared" si="82"/>
        <v>101</v>
      </c>
      <c r="AH142" s="99">
        <f t="shared" si="82"/>
        <v>165</v>
      </c>
      <c r="AI142" s="99">
        <f t="shared" si="82"/>
        <v>219</v>
      </c>
      <c r="AJ142" s="99">
        <f t="shared" si="82"/>
        <v>323</v>
      </c>
      <c r="AK142" s="99">
        <f t="shared" si="82"/>
        <v>201</v>
      </c>
      <c r="AL142" s="99">
        <f t="shared" si="82"/>
        <v>357</v>
      </c>
      <c r="AM142" s="99">
        <f t="shared" si="82"/>
        <v>454</v>
      </c>
      <c r="AN142" s="99">
        <f t="shared" si="82"/>
        <v>535</v>
      </c>
      <c r="AO142" s="99">
        <f t="shared" si="82"/>
        <v>218</v>
      </c>
      <c r="AP142" s="99">
        <f t="shared" si="82"/>
        <v>316</v>
      </c>
      <c r="AQ142" s="99">
        <f t="shared" si="82"/>
        <v>376</v>
      </c>
      <c r="AR142" s="99">
        <f t="shared" si="82"/>
        <v>438</v>
      </c>
      <c r="AS142" s="99">
        <f t="shared" si="82"/>
        <v>155</v>
      </c>
      <c r="AT142" s="99">
        <f t="shared" si="82"/>
        <v>324</v>
      </c>
      <c r="AU142" s="99">
        <v>494</v>
      </c>
      <c r="AV142" s="99">
        <f>SUM(AV138:AV141)</f>
        <v>524</v>
      </c>
      <c r="AW142" s="99">
        <f>SUM(AW138:AW141)</f>
        <v>177</v>
      </c>
      <c r="AX142" s="99">
        <f>SUM(AX138:AX141)</f>
        <v>331</v>
      </c>
      <c r="AY142" s="117">
        <v>450</v>
      </c>
      <c r="AZ142" s="117">
        <v>576</v>
      </c>
      <c r="BA142" s="117">
        <v>152</v>
      </c>
      <c r="BB142" s="117">
        <v>284</v>
      </c>
      <c r="BC142" s="117">
        <v>426</v>
      </c>
    </row>
    <row r="143" spans="1:55" ht="14.1" customHeight="1" outlineLevel="1" x14ac:dyDescent="0.2">
      <c r="A143" s="64"/>
      <c r="B143" s="120" t="s">
        <v>5</v>
      </c>
      <c r="C143" s="3">
        <v>0</v>
      </c>
      <c r="D143" s="3">
        <v>0</v>
      </c>
      <c r="E143" s="3">
        <v>19</v>
      </c>
      <c r="F143" s="3">
        <v>33</v>
      </c>
      <c r="G143" s="3">
        <v>33</v>
      </c>
      <c r="H143" s="3">
        <v>33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1</v>
      </c>
      <c r="AT143" s="3">
        <v>1</v>
      </c>
      <c r="AU143" s="3">
        <v>1</v>
      </c>
      <c r="AV143" s="3">
        <v>0</v>
      </c>
      <c r="AW143" s="3">
        <v>0</v>
      </c>
      <c r="AX143" s="3">
        <v>0</v>
      </c>
    </row>
    <row r="144" spans="1:55" ht="14.1" customHeight="1" outlineLevel="1" x14ac:dyDescent="0.2">
      <c r="A144" s="64"/>
      <c r="B144" s="120" t="s">
        <v>30</v>
      </c>
      <c r="C144" s="60">
        <v>0</v>
      </c>
      <c r="D144" s="60">
        <v>0</v>
      </c>
      <c r="E144" s="3">
        <v>0</v>
      </c>
      <c r="F144" s="3">
        <v>0</v>
      </c>
      <c r="G144" s="3">
        <v>16</v>
      </c>
      <c r="H144" s="3">
        <v>16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44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46</v>
      </c>
      <c r="AJ144" s="3">
        <v>62</v>
      </c>
      <c r="AK144" s="3">
        <v>0</v>
      </c>
      <c r="AL144" s="3">
        <v>0</v>
      </c>
      <c r="AM144" s="3">
        <v>0</v>
      </c>
      <c r="AN144" s="3">
        <v>22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60">
        <v>37</v>
      </c>
      <c r="AV144" s="60">
        <v>37</v>
      </c>
      <c r="AW144" s="60">
        <v>0</v>
      </c>
      <c r="AX144" s="60">
        <v>0</v>
      </c>
    </row>
    <row r="145" spans="1:55" ht="14.1" customHeight="1" outlineLevel="1" x14ac:dyDescent="0.2">
      <c r="A145" s="64"/>
      <c r="B145" s="115" t="s">
        <v>224</v>
      </c>
      <c r="C145" s="99">
        <f t="shared" ref="C145:AU145" si="83">SUM(C143:C144)</f>
        <v>0</v>
      </c>
      <c r="D145" s="99">
        <f t="shared" si="83"/>
        <v>0</v>
      </c>
      <c r="E145" s="99">
        <f t="shared" si="83"/>
        <v>19</v>
      </c>
      <c r="F145" s="99">
        <f t="shared" si="83"/>
        <v>33</v>
      </c>
      <c r="G145" s="99">
        <f t="shared" si="83"/>
        <v>49</v>
      </c>
      <c r="H145" s="99">
        <f t="shared" si="83"/>
        <v>49</v>
      </c>
      <c r="I145" s="99">
        <f t="shared" si="83"/>
        <v>0</v>
      </c>
      <c r="J145" s="99">
        <f t="shared" si="83"/>
        <v>0</v>
      </c>
      <c r="K145" s="99">
        <f t="shared" si="83"/>
        <v>0</v>
      </c>
      <c r="L145" s="99">
        <f t="shared" si="83"/>
        <v>0</v>
      </c>
      <c r="M145" s="99">
        <f t="shared" si="83"/>
        <v>0</v>
      </c>
      <c r="N145" s="99">
        <f t="shared" si="83"/>
        <v>0</v>
      </c>
      <c r="O145" s="99">
        <f t="shared" si="83"/>
        <v>0</v>
      </c>
      <c r="P145" s="99">
        <f t="shared" si="83"/>
        <v>0</v>
      </c>
      <c r="Q145" s="99">
        <f t="shared" si="83"/>
        <v>0</v>
      </c>
      <c r="R145" s="99">
        <f t="shared" si="83"/>
        <v>0</v>
      </c>
      <c r="S145" s="99">
        <f t="shared" si="83"/>
        <v>0</v>
      </c>
      <c r="T145" s="99">
        <f t="shared" si="83"/>
        <v>0</v>
      </c>
      <c r="U145" s="99">
        <f t="shared" si="83"/>
        <v>0</v>
      </c>
      <c r="V145" s="99">
        <f t="shared" si="83"/>
        <v>0</v>
      </c>
      <c r="W145" s="99">
        <f t="shared" si="83"/>
        <v>0</v>
      </c>
      <c r="X145" s="99">
        <f t="shared" si="83"/>
        <v>0</v>
      </c>
      <c r="Y145" s="99">
        <f t="shared" si="83"/>
        <v>0</v>
      </c>
      <c r="Z145" s="99">
        <f t="shared" si="83"/>
        <v>0</v>
      </c>
      <c r="AA145" s="99">
        <f t="shared" si="83"/>
        <v>0</v>
      </c>
      <c r="AB145" s="99">
        <f t="shared" si="83"/>
        <v>44</v>
      </c>
      <c r="AC145" s="99">
        <f t="shared" si="83"/>
        <v>0</v>
      </c>
      <c r="AD145" s="99">
        <f t="shared" si="83"/>
        <v>0</v>
      </c>
      <c r="AE145" s="99">
        <f t="shared" si="83"/>
        <v>0</v>
      </c>
      <c r="AF145" s="99">
        <f t="shared" si="83"/>
        <v>0</v>
      </c>
      <c r="AG145" s="99">
        <f t="shared" si="83"/>
        <v>0</v>
      </c>
      <c r="AH145" s="99">
        <f t="shared" si="83"/>
        <v>0</v>
      </c>
      <c r="AI145" s="99">
        <f t="shared" si="83"/>
        <v>46</v>
      </c>
      <c r="AJ145" s="99">
        <f t="shared" si="83"/>
        <v>62</v>
      </c>
      <c r="AK145" s="99">
        <f t="shared" si="83"/>
        <v>0</v>
      </c>
      <c r="AL145" s="99">
        <f t="shared" si="83"/>
        <v>0</v>
      </c>
      <c r="AM145" s="99">
        <f t="shared" si="83"/>
        <v>0</v>
      </c>
      <c r="AN145" s="99">
        <f t="shared" si="83"/>
        <v>22</v>
      </c>
      <c r="AO145" s="99">
        <f t="shared" si="83"/>
        <v>0</v>
      </c>
      <c r="AP145" s="99">
        <f t="shared" si="83"/>
        <v>0</v>
      </c>
      <c r="AQ145" s="99">
        <f t="shared" si="83"/>
        <v>0</v>
      </c>
      <c r="AR145" s="99">
        <f t="shared" si="83"/>
        <v>0</v>
      </c>
      <c r="AS145" s="99">
        <f t="shared" si="83"/>
        <v>1</v>
      </c>
      <c r="AT145" s="99">
        <f t="shared" si="83"/>
        <v>1</v>
      </c>
      <c r="AU145" s="99">
        <f t="shared" si="83"/>
        <v>38</v>
      </c>
      <c r="AV145" s="117">
        <v>38</v>
      </c>
      <c r="AW145" s="99">
        <f>SUM(AW143:AW144)</f>
        <v>0</v>
      </c>
      <c r="AX145" s="99">
        <f>SUM(AX143:AX144)</f>
        <v>0</v>
      </c>
      <c r="AY145" s="117">
        <v>0</v>
      </c>
      <c r="AZ145" s="117">
        <v>1</v>
      </c>
      <c r="BA145" s="117">
        <v>0</v>
      </c>
      <c r="BB145" s="117">
        <v>0</v>
      </c>
      <c r="BC145" s="117">
        <v>0</v>
      </c>
    </row>
    <row r="146" spans="1:55" ht="14.1" customHeight="1" outlineLevel="1" x14ac:dyDescent="0.2">
      <c r="A146" s="64"/>
      <c r="B146" s="116" t="s">
        <v>148</v>
      </c>
      <c r="C146" s="29">
        <v>12</v>
      </c>
      <c r="D146" s="29">
        <v>12</v>
      </c>
      <c r="E146" s="19">
        <v>0</v>
      </c>
      <c r="F146" s="19">
        <v>0</v>
      </c>
      <c r="G146" s="19">
        <v>3</v>
      </c>
      <c r="H146" s="19">
        <v>8</v>
      </c>
      <c r="I146" s="19">
        <v>2</v>
      </c>
      <c r="J146" s="19">
        <v>2</v>
      </c>
      <c r="K146" s="19">
        <v>2</v>
      </c>
      <c r="L146" s="19">
        <v>2</v>
      </c>
      <c r="M146" s="19">
        <v>1</v>
      </c>
      <c r="N146" s="19">
        <v>1</v>
      </c>
      <c r="O146" s="19">
        <v>6</v>
      </c>
      <c r="P146" s="19">
        <v>8</v>
      </c>
      <c r="Q146" s="19">
        <v>2</v>
      </c>
      <c r="R146" s="19">
        <v>3</v>
      </c>
      <c r="S146" s="19">
        <v>3</v>
      </c>
      <c r="T146" s="19">
        <v>5</v>
      </c>
      <c r="U146" s="19">
        <v>0</v>
      </c>
      <c r="V146" s="19">
        <v>1</v>
      </c>
      <c r="W146" s="19">
        <v>3</v>
      </c>
      <c r="X146" s="19">
        <v>3</v>
      </c>
      <c r="Y146" s="19">
        <v>0</v>
      </c>
      <c r="Z146" s="19">
        <v>0</v>
      </c>
      <c r="AA146" s="19">
        <v>0</v>
      </c>
      <c r="AB146" s="19">
        <v>1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BA146" s="134">
        <v>0</v>
      </c>
      <c r="BB146" s="134">
        <v>1</v>
      </c>
      <c r="BC146" s="134">
        <v>1</v>
      </c>
    </row>
    <row r="147" spans="1:55" ht="14.1" customHeight="1" outlineLevel="1" x14ac:dyDescent="0.2">
      <c r="B147" s="37" t="s">
        <v>81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</row>
    <row r="148" spans="1:55" ht="14.1" customHeight="1" outlineLevel="1" x14ac:dyDescent="0.2">
      <c r="A148" s="64"/>
      <c r="B148" s="2" t="s">
        <v>80</v>
      </c>
      <c r="C148" s="4">
        <v>2711</v>
      </c>
      <c r="D148" s="4">
        <v>3512</v>
      </c>
      <c r="E148" s="4">
        <v>512</v>
      </c>
      <c r="F148" s="4">
        <v>1491</v>
      </c>
      <c r="G148" s="4">
        <v>2556</v>
      </c>
      <c r="H148" s="4">
        <v>3527</v>
      </c>
      <c r="I148" s="4">
        <v>798</v>
      </c>
      <c r="J148" s="4">
        <v>1882</v>
      </c>
      <c r="K148" s="4">
        <v>2987</v>
      </c>
      <c r="L148" s="4">
        <v>3907</v>
      </c>
      <c r="M148" s="4">
        <v>860</v>
      </c>
      <c r="N148" s="4">
        <v>1883</v>
      </c>
      <c r="O148" s="4">
        <v>2831</v>
      </c>
      <c r="P148" s="4">
        <v>3658</v>
      </c>
      <c r="Q148" s="4">
        <v>861</v>
      </c>
      <c r="R148" s="4">
        <v>2267</v>
      </c>
      <c r="S148" s="4">
        <v>3719</v>
      </c>
      <c r="T148" s="4">
        <v>5359</v>
      </c>
      <c r="U148" s="4">
        <v>1172</v>
      </c>
      <c r="V148" s="4">
        <v>2226</v>
      </c>
      <c r="W148" s="4">
        <v>3622</v>
      </c>
      <c r="X148" s="4">
        <v>4480</v>
      </c>
      <c r="Y148" s="4">
        <v>1039</v>
      </c>
      <c r="Z148" s="4">
        <v>1686</v>
      </c>
      <c r="AA148" s="4">
        <v>2927</v>
      </c>
      <c r="AB148" s="4">
        <v>4418</v>
      </c>
      <c r="AC148" s="4">
        <v>1306</v>
      </c>
      <c r="AD148" s="4">
        <v>2478</v>
      </c>
      <c r="AE148" s="4">
        <v>3899</v>
      </c>
      <c r="AF148" s="4">
        <v>5596</v>
      </c>
      <c r="AG148" s="4">
        <v>1637</v>
      </c>
      <c r="AH148" s="4">
        <v>3019</v>
      </c>
      <c r="AI148" s="4">
        <v>4458</v>
      </c>
      <c r="AJ148" s="4">
        <v>5997</v>
      </c>
      <c r="AK148" s="4">
        <v>1249</v>
      </c>
      <c r="AL148" s="4">
        <v>2824</v>
      </c>
      <c r="AM148" s="4">
        <v>5082</v>
      </c>
      <c r="AN148" s="4">
        <v>6963</v>
      </c>
      <c r="AO148" s="4">
        <v>962</v>
      </c>
      <c r="AP148" s="4">
        <v>2319</v>
      </c>
      <c r="AQ148" s="4">
        <v>3196</v>
      </c>
      <c r="AR148" s="4">
        <v>4176</v>
      </c>
      <c r="AS148" s="4">
        <v>639</v>
      </c>
      <c r="AT148" s="4">
        <v>1965</v>
      </c>
      <c r="AU148" s="4">
        <v>2778</v>
      </c>
      <c r="AV148" s="4">
        <v>4404</v>
      </c>
      <c r="AW148" s="4">
        <v>911</v>
      </c>
      <c r="AX148" s="4">
        <v>2222</v>
      </c>
      <c r="AY148" s="4">
        <v>3544</v>
      </c>
      <c r="AZ148" s="4">
        <v>4404</v>
      </c>
      <c r="BA148" s="4">
        <v>766</v>
      </c>
      <c r="BB148" s="4">
        <v>1800</v>
      </c>
      <c r="BC148" s="4">
        <v>2655</v>
      </c>
    </row>
    <row r="149" spans="1:55" ht="14.1" customHeight="1" outlineLevel="1" x14ac:dyDescent="0.2">
      <c r="A149" s="64"/>
      <c r="B149" s="77" t="s">
        <v>82</v>
      </c>
      <c r="C149" s="7">
        <v>1378</v>
      </c>
      <c r="D149" s="7">
        <v>1751</v>
      </c>
      <c r="E149" s="7">
        <v>456</v>
      </c>
      <c r="F149" s="7">
        <v>707</v>
      </c>
      <c r="G149" s="7">
        <v>1263</v>
      </c>
      <c r="H149" s="7">
        <v>1898</v>
      </c>
      <c r="I149" s="7">
        <v>672</v>
      </c>
      <c r="J149" s="7">
        <v>1343</v>
      </c>
      <c r="K149" s="7">
        <v>2014</v>
      </c>
      <c r="L149" s="7">
        <v>2687</v>
      </c>
      <c r="M149" s="7">
        <v>482</v>
      </c>
      <c r="N149" s="7">
        <v>944</v>
      </c>
      <c r="O149" s="7">
        <v>1264</v>
      </c>
      <c r="P149" s="7">
        <v>1480</v>
      </c>
      <c r="Q149" s="7">
        <v>152</v>
      </c>
      <c r="R149" s="7">
        <v>172</v>
      </c>
      <c r="S149" s="7">
        <v>217</v>
      </c>
      <c r="T149" s="7">
        <v>384</v>
      </c>
      <c r="U149" s="7">
        <v>192</v>
      </c>
      <c r="V149" s="7">
        <v>513</v>
      </c>
      <c r="W149" s="7">
        <v>733</v>
      </c>
      <c r="X149" s="7">
        <v>1076</v>
      </c>
      <c r="Y149" s="7">
        <v>456</v>
      </c>
      <c r="Z149" s="7">
        <v>729</v>
      </c>
      <c r="AA149" s="7">
        <v>1142</v>
      </c>
      <c r="AB149" s="7">
        <v>1493</v>
      </c>
      <c r="AC149" s="7">
        <v>380</v>
      </c>
      <c r="AD149" s="7">
        <v>695</v>
      </c>
      <c r="AE149" s="7">
        <v>1142</v>
      </c>
      <c r="AF149" s="7">
        <v>1632</v>
      </c>
      <c r="AG149" s="7">
        <v>522</v>
      </c>
      <c r="AH149" s="7">
        <v>1026</v>
      </c>
      <c r="AI149" s="7">
        <v>1460</v>
      </c>
      <c r="AJ149" s="7">
        <v>1893</v>
      </c>
      <c r="AK149" s="7">
        <v>484</v>
      </c>
      <c r="AL149" s="7">
        <v>930</v>
      </c>
      <c r="AM149" s="7">
        <v>1343</v>
      </c>
      <c r="AN149" s="7">
        <v>1808</v>
      </c>
      <c r="AO149" s="7">
        <v>425</v>
      </c>
      <c r="AP149" s="7">
        <v>584</v>
      </c>
      <c r="AQ149" s="7">
        <v>713</v>
      </c>
      <c r="AR149" s="7">
        <v>982</v>
      </c>
      <c r="AS149" s="7">
        <v>64</v>
      </c>
      <c r="AT149" s="7">
        <v>113</v>
      </c>
      <c r="AU149" s="7">
        <v>155</v>
      </c>
      <c r="AV149" s="7">
        <v>207</v>
      </c>
      <c r="AW149" s="7">
        <v>155</v>
      </c>
      <c r="AX149" s="7">
        <v>737</v>
      </c>
      <c r="AY149" s="7">
        <v>1346</v>
      </c>
      <c r="AZ149" s="7">
        <v>1945</v>
      </c>
      <c r="BA149" s="7">
        <v>609</v>
      </c>
      <c r="BB149" s="7">
        <v>822</v>
      </c>
      <c r="BC149" s="7">
        <v>893</v>
      </c>
    </row>
    <row r="150" spans="1:55" ht="14.1" customHeight="1" outlineLevel="1" x14ac:dyDescent="0.2">
      <c r="B150" s="6" t="s">
        <v>83</v>
      </c>
      <c r="C150" s="65" t="s">
        <v>8</v>
      </c>
      <c r="D150" s="65" t="s">
        <v>8</v>
      </c>
      <c r="E150" s="65" t="s">
        <v>8</v>
      </c>
      <c r="F150" s="65" t="s">
        <v>8</v>
      </c>
      <c r="G150" s="65" t="s">
        <v>8</v>
      </c>
      <c r="H150" s="32">
        <v>0.94</v>
      </c>
      <c r="I150" s="32">
        <v>1</v>
      </c>
      <c r="J150" s="32">
        <v>1</v>
      </c>
      <c r="K150" s="32">
        <v>1</v>
      </c>
      <c r="L150" s="32">
        <v>1</v>
      </c>
      <c r="M150" s="32">
        <v>0.72</v>
      </c>
      <c r="N150" s="32">
        <v>0.7</v>
      </c>
      <c r="O150" s="32">
        <v>0.63</v>
      </c>
      <c r="P150" s="32">
        <v>0.55000000000000004</v>
      </c>
      <c r="Q150" s="32">
        <v>0.23</v>
      </c>
      <c r="R150" s="32">
        <v>0.13</v>
      </c>
      <c r="S150" s="32">
        <v>0.11</v>
      </c>
      <c r="T150" s="32">
        <v>0.14000000000000001</v>
      </c>
      <c r="U150" s="32">
        <v>0.28000000000000003</v>
      </c>
      <c r="V150" s="32">
        <v>0.35</v>
      </c>
      <c r="W150" s="32">
        <v>0.36</v>
      </c>
      <c r="X150" s="32">
        <v>0.4</v>
      </c>
      <c r="Y150" s="32">
        <v>0.68</v>
      </c>
      <c r="Z150" s="32">
        <v>0.54</v>
      </c>
      <c r="AA150" s="32">
        <v>0.56000000000000005</v>
      </c>
      <c r="AB150" s="32">
        <v>0.55000000000000004</v>
      </c>
      <c r="AC150" s="32">
        <v>0.56000000000000005</v>
      </c>
      <c r="AD150" s="32">
        <v>0.51</v>
      </c>
      <c r="AE150" s="32">
        <v>0.56000000000000005</v>
      </c>
      <c r="AF150" s="32">
        <v>0.6</v>
      </c>
      <c r="AG150" s="32">
        <v>0.77</v>
      </c>
      <c r="AH150" s="32">
        <v>0.76</v>
      </c>
      <c r="AI150" s="32">
        <v>0.72099999999999997</v>
      </c>
      <c r="AJ150" s="32">
        <v>0.70099999999999996</v>
      </c>
      <c r="AK150" s="32">
        <v>0.82699999999999996</v>
      </c>
      <c r="AL150" s="32">
        <v>0.79</v>
      </c>
      <c r="AM150" s="32">
        <v>0.76600000000000001</v>
      </c>
      <c r="AN150" s="32">
        <v>0.77300000000000002</v>
      </c>
      <c r="AO150" s="32">
        <v>0.72699999999999998</v>
      </c>
      <c r="AP150" s="32">
        <v>0.5</v>
      </c>
      <c r="AQ150" s="32">
        <v>0.48</v>
      </c>
      <c r="AR150" s="32">
        <v>0.42</v>
      </c>
      <c r="AS150" s="32">
        <v>0.11</v>
      </c>
      <c r="AT150" s="32">
        <v>9.6000000000000002E-2</v>
      </c>
      <c r="AU150" s="32">
        <v>8.7999999999999995E-2</v>
      </c>
      <c r="AV150" s="32">
        <v>8.8999999999999996E-2</v>
      </c>
      <c r="AW150" s="32">
        <v>0.26500000000000001</v>
      </c>
      <c r="AX150" s="113">
        <v>0.61899999999999999</v>
      </c>
      <c r="AY150" s="113">
        <v>0.73399999999999999</v>
      </c>
      <c r="AZ150" s="123">
        <v>0.78500000000000003</v>
      </c>
      <c r="BA150" s="123">
        <v>0.94599999999999995</v>
      </c>
      <c r="BB150" s="123">
        <v>0.63800000000000001</v>
      </c>
      <c r="BC150" s="123">
        <v>0.46200000000000002</v>
      </c>
    </row>
    <row r="151" spans="1:55" ht="14.1" customHeight="1" outlineLevel="1" x14ac:dyDescent="0.2">
      <c r="B151" s="37" t="s">
        <v>218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</row>
    <row r="152" spans="1:55" ht="15" customHeight="1" outlineLevel="1" x14ac:dyDescent="0.2">
      <c r="A152" s="63"/>
      <c r="B152" s="108" t="s">
        <v>199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"/>
      <c r="V152" s="3"/>
      <c r="W152" s="3"/>
      <c r="X152" s="3"/>
      <c r="Y152" s="3"/>
      <c r="Z152" s="3"/>
      <c r="AA152" s="3"/>
      <c r="AB152" s="6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55" ht="15" customHeight="1" outlineLevel="1" x14ac:dyDescent="0.2">
      <c r="A153" s="63"/>
      <c r="B153" s="109" t="s">
        <v>217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"/>
      <c r="V153" s="3"/>
      <c r="W153" s="3"/>
      <c r="X153" s="3"/>
      <c r="Y153" s="3"/>
      <c r="Z153" s="3"/>
      <c r="AA153" s="3"/>
      <c r="AB153" s="6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>
        <v>15</v>
      </c>
      <c r="AT153" s="3">
        <v>2816</v>
      </c>
      <c r="AU153" s="3">
        <v>6489</v>
      </c>
      <c r="AV153" s="3">
        <v>7933</v>
      </c>
      <c r="AW153" s="3">
        <v>107</v>
      </c>
      <c r="AX153" s="3">
        <v>1506</v>
      </c>
      <c r="AY153" s="3">
        <v>3938</v>
      </c>
      <c r="AZ153" s="3">
        <v>4413</v>
      </c>
      <c r="BA153" s="60">
        <v>80</v>
      </c>
      <c r="BB153" s="60">
        <v>946</v>
      </c>
      <c r="BC153" s="3">
        <v>1909</v>
      </c>
    </row>
    <row r="154" spans="1:55" ht="15" customHeight="1" outlineLevel="1" x14ac:dyDescent="0.2">
      <c r="A154" s="63"/>
      <c r="B154" s="109" t="s">
        <v>25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"/>
      <c r="V154" s="3"/>
      <c r="W154" s="3"/>
      <c r="X154" s="3"/>
      <c r="Y154" s="3"/>
      <c r="Z154" s="3"/>
      <c r="AA154" s="3"/>
      <c r="AB154" s="60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>
        <v>9</v>
      </c>
      <c r="AT154" s="3">
        <v>1013</v>
      </c>
      <c r="AU154" s="3">
        <v>1943</v>
      </c>
      <c r="AV154" s="3">
        <v>2759</v>
      </c>
      <c r="AW154" s="3">
        <v>401</v>
      </c>
      <c r="AX154" s="3">
        <v>992</v>
      </c>
      <c r="AY154" s="3">
        <v>2367</v>
      </c>
      <c r="AZ154" s="3">
        <v>3787</v>
      </c>
      <c r="BA154" s="60">
        <v>124</v>
      </c>
      <c r="BB154" s="60">
        <v>369</v>
      </c>
      <c r="BC154" s="3">
        <v>1094</v>
      </c>
    </row>
    <row r="155" spans="1:55" ht="15" customHeight="1" outlineLevel="1" x14ac:dyDescent="0.2">
      <c r="A155" s="63"/>
      <c r="B155" s="109" t="s">
        <v>204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"/>
      <c r="V155" s="3"/>
      <c r="W155" s="3"/>
      <c r="X155" s="3"/>
      <c r="Y155" s="3"/>
      <c r="Z155" s="3"/>
      <c r="AA155" s="3"/>
      <c r="AB155" s="60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>
        <v>39.170999999999999</v>
      </c>
      <c r="AT155" s="3">
        <v>48</v>
      </c>
      <c r="AU155" s="3">
        <v>48</v>
      </c>
      <c r="AV155" s="3">
        <v>103</v>
      </c>
      <c r="AW155" s="3">
        <v>48.18</v>
      </c>
      <c r="AX155" s="3">
        <v>52</v>
      </c>
      <c r="AY155" s="3">
        <v>52</v>
      </c>
      <c r="AZ155" s="3">
        <v>118</v>
      </c>
      <c r="BA155" s="3">
        <v>34</v>
      </c>
      <c r="BB155" s="60">
        <v>45</v>
      </c>
      <c r="BC155" s="3">
        <v>45</v>
      </c>
    </row>
    <row r="156" spans="1:55" ht="15" customHeight="1" outlineLevel="1" x14ac:dyDescent="0.2">
      <c r="A156" s="63"/>
      <c r="B156" s="110" t="s">
        <v>200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11"/>
      <c r="V156" s="11"/>
      <c r="W156" s="11"/>
      <c r="X156" s="11"/>
      <c r="Y156" s="11"/>
      <c r="Z156" s="11"/>
      <c r="AA156" s="11"/>
      <c r="AB156" s="38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0"/>
      <c r="AX156" s="10"/>
      <c r="AY156" s="10"/>
      <c r="AZ156" s="10"/>
      <c r="BA156" s="10"/>
      <c r="BB156" s="10"/>
      <c r="BC156" s="10"/>
    </row>
    <row r="157" spans="1:55" ht="15" customHeight="1" outlineLevel="1" x14ac:dyDescent="0.2">
      <c r="A157" s="63"/>
      <c r="B157" s="111" t="s">
        <v>247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19"/>
      <c r="V157" s="19"/>
      <c r="W157" s="19"/>
      <c r="X157" s="19"/>
      <c r="Y157" s="19"/>
      <c r="Z157" s="19"/>
      <c r="AA157" s="19"/>
      <c r="AB157" s="2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06"/>
      <c r="AX157" s="106"/>
      <c r="AY157" s="106"/>
      <c r="AZ157" s="106"/>
      <c r="BA157" s="106"/>
      <c r="BB157" s="106"/>
      <c r="BC157" s="106"/>
    </row>
    <row r="158" spans="1:55" ht="15" customHeight="1" outlineLevel="1" x14ac:dyDescent="0.2">
      <c r="A158" s="63"/>
      <c r="B158" s="112" t="s">
        <v>208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"/>
      <c r="V158" s="3"/>
      <c r="W158" s="3"/>
      <c r="X158" s="3"/>
      <c r="Y158" s="3"/>
      <c r="Z158" s="3"/>
      <c r="AA158" s="3"/>
      <c r="AB158" s="6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16</v>
      </c>
      <c r="AW158" s="3">
        <v>4255.1000000000004</v>
      </c>
      <c r="AX158" s="3">
        <v>5776</v>
      </c>
      <c r="AY158" s="3">
        <v>5897</v>
      </c>
      <c r="AZ158" s="3">
        <v>6035</v>
      </c>
      <c r="BA158" s="3">
        <v>1181.04</v>
      </c>
      <c r="BB158" s="3">
        <v>10291</v>
      </c>
      <c r="BC158" s="3">
        <v>10296</v>
      </c>
    </row>
    <row r="159" spans="1:55" ht="15" customHeight="1" outlineLevel="1" x14ac:dyDescent="0.2">
      <c r="A159" s="63"/>
      <c r="B159" s="112" t="s">
        <v>209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"/>
      <c r="V159" s="3"/>
      <c r="W159" s="3"/>
      <c r="X159" s="3"/>
      <c r="Y159" s="3"/>
      <c r="Z159" s="3"/>
      <c r="AA159" s="3"/>
      <c r="AB159" s="6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>
        <v>790.55</v>
      </c>
      <c r="AT159" s="3">
        <v>3282</v>
      </c>
      <c r="AU159" s="3">
        <v>3282</v>
      </c>
      <c r="AV159" s="3">
        <v>3572</v>
      </c>
      <c r="AW159" s="3">
        <v>331.6</v>
      </c>
      <c r="AX159" s="3">
        <v>2458</v>
      </c>
      <c r="AY159" s="3">
        <v>2458</v>
      </c>
      <c r="AZ159" s="3">
        <v>2458</v>
      </c>
      <c r="BA159" s="3">
        <v>5.5</v>
      </c>
      <c r="BB159" s="3">
        <v>1392</v>
      </c>
      <c r="BC159" s="3">
        <v>1740</v>
      </c>
    </row>
    <row r="160" spans="1:55" ht="15" customHeight="1" outlineLevel="1" x14ac:dyDescent="0.2">
      <c r="A160" s="63"/>
      <c r="B160" s="112" t="s">
        <v>207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"/>
      <c r="V160" s="3"/>
      <c r="W160" s="3"/>
      <c r="X160" s="3"/>
      <c r="Y160" s="3"/>
      <c r="Z160" s="3"/>
      <c r="AA160" s="3"/>
      <c r="AB160" s="60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>
        <v>50.649000000000001</v>
      </c>
      <c r="AT160" s="3">
        <v>80</v>
      </c>
      <c r="AU160" s="3">
        <v>85</v>
      </c>
      <c r="AV160" s="3">
        <v>90</v>
      </c>
      <c r="AW160" s="3">
        <v>42.08</v>
      </c>
      <c r="AX160" s="3">
        <v>78</v>
      </c>
      <c r="AY160" s="3">
        <v>84</v>
      </c>
      <c r="AZ160" s="3">
        <v>100</v>
      </c>
      <c r="BA160" s="3">
        <v>36.491999999999997</v>
      </c>
      <c r="BB160" s="3">
        <v>67</v>
      </c>
      <c r="BC160" s="3">
        <v>73</v>
      </c>
    </row>
    <row r="161" spans="1:55" ht="15" customHeight="1" outlineLevel="1" x14ac:dyDescent="0.2">
      <c r="B161" s="112" t="s">
        <v>246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"/>
      <c r="V161" s="3"/>
      <c r="W161" s="3"/>
      <c r="X161" s="3"/>
      <c r="Y161" s="3"/>
      <c r="Z161" s="3"/>
      <c r="AA161" s="3"/>
      <c r="AB161" s="60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>
        <v>10.7</v>
      </c>
      <c r="AT161" s="3">
        <v>95</v>
      </c>
      <c r="AU161" s="3">
        <v>182</v>
      </c>
      <c r="AV161" s="3">
        <v>395</v>
      </c>
      <c r="AW161" s="3">
        <v>13.506</v>
      </c>
      <c r="AX161" s="3">
        <v>74</v>
      </c>
      <c r="AY161" s="3">
        <v>96</v>
      </c>
      <c r="AZ161" s="3">
        <v>104</v>
      </c>
      <c r="BA161" s="3">
        <v>3.85</v>
      </c>
      <c r="BB161" s="3">
        <v>33</v>
      </c>
      <c r="BC161" s="3">
        <v>57</v>
      </c>
    </row>
    <row r="162" spans="1:55" ht="15" customHeight="1" outlineLevel="1" x14ac:dyDescent="0.2">
      <c r="A162" s="63"/>
      <c r="B162" s="112" t="s">
        <v>210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"/>
      <c r="V162" s="3"/>
      <c r="W162" s="3"/>
      <c r="X162" s="3"/>
      <c r="Y162" s="3"/>
      <c r="Z162" s="3"/>
      <c r="AA162" s="3"/>
      <c r="AB162" s="60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>
        <v>0</v>
      </c>
      <c r="AT162" s="3">
        <v>0</v>
      </c>
      <c r="AU162" s="3">
        <v>0</v>
      </c>
      <c r="AV162" s="3">
        <v>5</v>
      </c>
      <c r="AW162" s="3">
        <v>85.751000000000005</v>
      </c>
      <c r="AX162" s="3">
        <v>85.751000000000005</v>
      </c>
      <c r="AY162" s="3">
        <v>85.751000000000005</v>
      </c>
      <c r="AZ162" s="3">
        <v>106</v>
      </c>
      <c r="BA162" s="3">
        <v>91.341999999999999</v>
      </c>
      <c r="BB162" s="3">
        <v>91</v>
      </c>
      <c r="BC162" s="3">
        <v>91</v>
      </c>
    </row>
    <row r="163" spans="1:55" ht="15" customHeight="1" outlineLevel="1" x14ac:dyDescent="0.2">
      <c r="A163" s="64"/>
      <c r="B163" s="112" t="s">
        <v>211</v>
      </c>
      <c r="AS163" s="3">
        <v>0</v>
      </c>
      <c r="AT163" s="3">
        <v>0</v>
      </c>
      <c r="AU163" s="60">
        <v>750</v>
      </c>
      <c r="AV163" s="3">
        <v>19295</v>
      </c>
      <c r="AW163" s="3">
        <v>143.02000000000001</v>
      </c>
      <c r="AX163" s="3">
        <v>145</v>
      </c>
      <c r="AY163" s="3">
        <v>1456</v>
      </c>
      <c r="AZ163" s="3">
        <v>11789</v>
      </c>
      <c r="BA163" s="3">
        <v>144.80000000000001</v>
      </c>
      <c r="BB163" s="3">
        <v>162</v>
      </c>
      <c r="BC163" s="3">
        <v>3189</v>
      </c>
    </row>
    <row r="164" spans="1:55" ht="15" customHeight="1" outlineLevel="1" x14ac:dyDescent="0.2">
      <c r="A164" s="64"/>
      <c r="B164" s="112" t="s">
        <v>227</v>
      </c>
      <c r="AS164" s="3"/>
      <c r="AT164" s="3"/>
      <c r="AU164" s="60"/>
      <c r="AV164" s="60"/>
      <c r="AW164" s="3">
        <v>0</v>
      </c>
      <c r="AX164" s="3">
        <v>0</v>
      </c>
      <c r="AY164" s="3">
        <v>0</v>
      </c>
      <c r="AZ164" s="3">
        <v>9990</v>
      </c>
      <c r="BA164" s="3">
        <v>334.06</v>
      </c>
      <c r="BB164" s="3">
        <v>8664</v>
      </c>
      <c r="BC164" s="3">
        <v>8700</v>
      </c>
    </row>
    <row r="165" spans="1:55" ht="15" customHeight="1" outlineLevel="1" x14ac:dyDescent="0.2">
      <c r="A165" s="64"/>
      <c r="B165" s="112" t="s">
        <v>228</v>
      </c>
      <c r="AS165" s="3"/>
      <c r="AT165" s="3"/>
      <c r="AU165" s="60"/>
      <c r="AV165" s="60"/>
      <c r="AW165" s="3">
        <v>0</v>
      </c>
      <c r="AX165" s="3">
        <v>0</v>
      </c>
      <c r="AY165" s="3">
        <v>0</v>
      </c>
      <c r="AZ165" s="3">
        <v>1871</v>
      </c>
      <c r="BA165" s="3">
        <v>0</v>
      </c>
      <c r="BB165" s="3">
        <v>0</v>
      </c>
      <c r="BC165" s="3">
        <v>746.38</v>
      </c>
    </row>
    <row r="166" spans="1:55" ht="15" customHeight="1" outlineLevel="1" x14ac:dyDescent="0.2">
      <c r="A166" s="64"/>
      <c r="B166" s="112" t="s">
        <v>245</v>
      </c>
      <c r="AS166" s="3">
        <v>0</v>
      </c>
      <c r="AT166" s="3">
        <v>0</v>
      </c>
      <c r="AU166" s="60">
        <v>42</v>
      </c>
      <c r="AV166" s="60">
        <v>42</v>
      </c>
      <c r="AW166" s="3">
        <v>0</v>
      </c>
      <c r="AX166" s="3">
        <v>9</v>
      </c>
      <c r="AY166" s="3">
        <v>9</v>
      </c>
      <c r="AZ166" s="3">
        <v>9</v>
      </c>
      <c r="BA166" s="3">
        <v>19.619</v>
      </c>
      <c r="BB166" s="3">
        <v>49</v>
      </c>
      <c r="BC166" s="3">
        <v>49</v>
      </c>
    </row>
    <row r="167" spans="1:55" ht="15" customHeight="1" outlineLevel="1" x14ac:dyDescent="0.2">
      <c r="A167" s="64"/>
      <c r="B167" s="112" t="s">
        <v>244</v>
      </c>
      <c r="AS167" s="3">
        <v>0</v>
      </c>
      <c r="AT167" s="3">
        <v>1</v>
      </c>
      <c r="AU167" s="3">
        <v>0</v>
      </c>
      <c r="AV167" s="60">
        <v>4</v>
      </c>
      <c r="AW167" s="3">
        <v>0</v>
      </c>
      <c r="AX167" s="3">
        <v>0</v>
      </c>
      <c r="AY167" s="3">
        <v>0</v>
      </c>
      <c r="AZ167" s="3">
        <v>1</v>
      </c>
      <c r="BA167" s="3">
        <v>0</v>
      </c>
      <c r="BB167" s="3">
        <v>0</v>
      </c>
      <c r="BC167" s="3">
        <v>0</v>
      </c>
    </row>
    <row r="168" spans="1:55" ht="15" customHeight="1" outlineLevel="1" x14ac:dyDescent="0.2">
      <c r="A168" s="64"/>
      <c r="B168" s="112" t="s">
        <v>243</v>
      </c>
      <c r="AS168" s="3"/>
      <c r="AT168" s="3"/>
      <c r="AU168" s="3"/>
      <c r="AV168" s="60"/>
      <c r="AW168" s="3"/>
      <c r="AX168" s="3"/>
      <c r="AY168" s="3"/>
      <c r="AZ168" s="3"/>
      <c r="BA168" s="3"/>
      <c r="BB168" s="3"/>
      <c r="BC168" s="3">
        <v>574</v>
      </c>
    </row>
    <row r="169" spans="1:55" ht="15" customHeight="1" outlineLevel="1" x14ac:dyDescent="0.2">
      <c r="A169" s="64"/>
      <c r="B169" s="111" t="s">
        <v>248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9"/>
      <c r="BB169" s="19"/>
      <c r="BC169" s="19"/>
    </row>
    <row r="170" spans="1:55" ht="15" customHeight="1" outlineLevel="1" x14ac:dyDescent="0.2">
      <c r="A170" s="64"/>
      <c r="B170" s="112" t="s">
        <v>207</v>
      </c>
      <c r="AS170" s="3"/>
      <c r="AT170" s="3"/>
      <c r="AU170" s="3"/>
      <c r="AV170" s="3"/>
      <c r="AW170" s="3">
        <v>9</v>
      </c>
      <c r="AX170" s="3">
        <v>9</v>
      </c>
      <c r="AY170" s="3">
        <v>9</v>
      </c>
      <c r="AZ170" s="3">
        <v>9</v>
      </c>
      <c r="BA170" s="60">
        <v>0</v>
      </c>
      <c r="BB170" s="60">
        <v>0</v>
      </c>
      <c r="BC170" s="60">
        <v>0</v>
      </c>
    </row>
    <row r="171" spans="1:55" ht="15" customHeight="1" outlineLevel="1" x14ac:dyDescent="0.25">
      <c r="A171" s="75" t="s">
        <v>79</v>
      </c>
      <c r="B171" s="112" t="s">
        <v>208</v>
      </c>
      <c r="AS171" s="3"/>
      <c r="AT171" s="3"/>
      <c r="AU171" s="3"/>
      <c r="AV171" s="3"/>
      <c r="AW171" s="3"/>
      <c r="AX171" s="3"/>
      <c r="AY171" s="3"/>
      <c r="AZ171" s="3">
        <v>1760</v>
      </c>
      <c r="BA171" s="60">
        <v>0</v>
      </c>
      <c r="BB171" s="60">
        <v>0</v>
      </c>
      <c r="BC171" s="60">
        <v>0</v>
      </c>
    </row>
    <row r="172" spans="1:55" x14ac:dyDescent="0.2">
      <c r="AS172" s="3"/>
      <c r="AT172" s="3"/>
      <c r="AU172" s="3"/>
      <c r="AV172" s="3">
        <v>25</v>
      </c>
      <c r="AW172" s="3"/>
      <c r="AX172" s="3"/>
      <c r="AY172" s="3"/>
      <c r="AZ172" s="3"/>
    </row>
    <row r="173" spans="1:55" x14ac:dyDescent="0.2">
      <c r="AS173" s="3">
        <v>646.24</v>
      </c>
      <c r="AT173" s="3">
        <v>1139</v>
      </c>
      <c r="AU173" s="3">
        <v>1139</v>
      </c>
      <c r="AV173" s="3">
        <v>1139</v>
      </c>
      <c r="AW173" s="3">
        <v>495.07</v>
      </c>
      <c r="AX173" s="3">
        <v>495.07</v>
      </c>
      <c r="AY173" s="3">
        <v>495.07</v>
      </c>
      <c r="AZ173" s="3">
        <v>495.07</v>
      </c>
      <c r="BA173" s="60">
        <v>0</v>
      </c>
      <c r="BB173" s="60">
        <v>0</v>
      </c>
      <c r="BC173" s="60">
        <v>0</v>
      </c>
    </row>
  </sheetData>
  <hyperlinks>
    <hyperlink ref="B4" location="'Operational Data'!A170" display="Cumulative Operational Data" xr:uid="{00000000-0004-0000-0100-000000000000}"/>
    <hyperlink ref="A85" location="'Operational Data'!A1" display="Up" xr:uid="{00000000-0004-0000-0100-000001000000}"/>
    <hyperlink ref="A171" location="'Operational Data'!A1" display="Up" xr:uid="{00000000-0004-0000-0100-000002000000}"/>
    <hyperlink ref="B3" location="'Operational Data'!A85" display="Quarerly Operational Data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62F1-6806-48D6-942E-705A7DE66223}">
  <sheetPr>
    <tabColor theme="8" tint="-0.249977111117893"/>
    <pageSetUpPr fitToPage="1"/>
  </sheetPr>
  <dimension ref="A2:M219"/>
  <sheetViews>
    <sheetView zoomScale="80" zoomScaleNormal="80" workbookViewId="0">
      <pane xSplit="2" topLeftCell="C1" activePane="topRight" state="frozen"/>
      <selection pane="topRight" activeCell="L213" sqref="L213:L214"/>
    </sheetView>
  </sheetViews>
  <sheetFormatPr defaultColWidth="9.140625" defaultRowHeight="12.75" outlineLevelRow="1" x14ac:dyDescent="0.2"/>
  <cols>
    <col min="1" max="1" width="8.7109375" style="64" customWidth="1"/>
    <col min="2" max="2" width="65.5703125" style="1" customWidth="1"/>
    <col min="3" max="10" width="10.7109375" style="1" customWidth="1"/>
    <col min="11" max="16384" width="9.140625" style="1"/>
  </cols>
  <sheetData>
    <row r="2" spans="1:13" s="130" customFormat="1" ht="24" customHeight="1" x14ac:dyDescent="0.25">
      <c r="A2" s="128"/>
      <c r="B2" s="129" t="s">
        <v>9</v>
      </c>
    </row>
    <row r="3" spans="1:13" ht="15" customHeight="1" x14ac:dyDescent="0.2">
      <c r="A3" s="96" t="s">
        <v>195</v>
      </c>
      <c r="B3" s="63" t="s">
        <v>130</v>
      </c>
    </row>
    <row r="4" spans="1:13" ht="15" customHeight="1" x14ac:dyDescent="0.2">
      <c r="A4" s="96" t="s">
        <v>195</v>
      </c>
      <c r="B4" s="63" t="s">
        <v>131</v>
      </c>
    </row>
    <row r="5" spans="1:13" ht="15" customHeight="1" x14ac:dyDescent="0.2">
      <c r="A5" s="96" t="s">
        <v>195</v>
      </c>
      <c r="B5" s="63" t="s">
        <v>162</v>
      </c>
    </row>
    <row r="6" spans="1:13" ht="15" customHeight="1" x14ac:dyDescent="0.2">
      <c r="A6" s="96" t="s">
        <v>195</v>
      </c>
      <c r="B6" s="63" t="s">
        <v>232</v>
      </c>
    </row>
    <row r="7" spans="1:13" ht="15" customHeight="1" x14ac:dyDescent="0.2">
      <c r="A7" s="96" t="s">
        <v>195</v>
      </c>
      <c r="B7" s="63" t="s">
        <v>164</v>
      </c>
    </row>
    <row r="8" spans="1:13" ht="15" customHeight="1" x14ac:dyDescent="0.2">
      <c r="A8" s="96" t="s">
        <v>195</v>
      </c>
      <c r="B8" s="63" t="s">
        <v>231</v>
      </c>
    </row>
    <row r="9" spans="1:13" ht="15" customHeight="1" x14ac:dyDescent="0.2">
      <c r="A9" s="96" t="s">
        <v>195</v>
      </c>
      <c r="B9" s="63" t="s">
        <v>165</v>
      </c>
    </row>
    <row r="10" spans="1:13" ht="15" customHeight="1" x14ac:dyDescent="0.2">
      <c r="A10" s="96" t="s">
        <v>195</v>
      </c>
      <c r="B10" s="63" t="s">
        <v>177</v>
      </c>
    </row>
    <row r="11" spans="1:13" ht="15" customHeight="1" x14ac:dyDescent="0.2">
      <c r="A11" s="96" t="s">
        <v>195</v>
      </c>
      <c r="B11" s="63" t="s">
        <v>153</v>
      </c>
    </row>
    <row r="12" spans="1:13" ht="15" customHeight="1" x14ac:dyDescent="0.2">
      <c r="A12" s="96" t="s">
        <v>195</v>
      </c>
      <c r="B12" s="63" t="s">
        <v>183</v>
      </c>
    </row>
    <row r="13" spans="1:13" ht="15" customHeight="1" x14ac:dyDescent="0.2">
      <c r="A13" s="96" t="s">
        <v>195</v>
      </c>
      <c r="B13" s="63" t="s">
        <v>150</v>
      </c>
    </row>
    <row r="14" spans="1:13" ht="15" customHeight="1" x14ac:dyDescent="0.2">
      <c r="A14" s="96" t="s">
        <v>195</v>
      </c>
      <c r="B14" s="63" t="s">
        <v>136</v>
      </c>
    </row>
    <row r="16" spans="1:13" ht="20.100000000000001" customHeight="1" outlineLevel="1" x14ac:dyDescent="0.2">
      <c r="B16" s="34" t="s">
        <v>130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outlineLevel="1" x14ac:dyDescent="0.2">
      <c r="B17" s="33" t="s">
        <v>121</v>
      </c>
      <c r="C17" s="37" t="s">
        <v>187</v>
      </c>
      <c r="D17" s="37" t="s">
        <v>190</v>
      </c>
      <c r="E17" s="37" t="s">
        <v>192</v>
      </c>
      <c r="F17" s="37">
        <v>2019</v>
      </c>
      <c r="G17" s="37" t="s">
        <v>197</v>
      </c>
      <c r="H17" s="37" t="s">
        <v>216</v>
      </c>
      <c r="I17" s="37" t="s">
        <v>222</v>
      </c>
      <c r="J17" s="37">
        <v>2020</v>
      </c>
      <c r="K17" s="37" t="s">
        <v>235</v>
      </c>
      <c r="L17" s="37" t="s">
        <v>238</v>
      </c>
      <c r="M17" s="37" t="s">
        <v>242</v>
      </c>
    </row>
    <row r="18" spans="1:13" ht="15" customHeight="1" outlineLevel="1" x14ac:dyDescent="0.2">
      <c r="B18" s="10" t="s">
        <v>122</v>
      </c>
      <c r="C18" s="3">
        <v>4587.4780000000001</v>
      </c>
      <c r="D18" s="3">
        <v>8305.8829999999998</v>
      </c>
      <c r="E18" s="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  <c r="K18" s="3">
        <v>3790.5909999999999</v>
      </c>
      <c r="L18" s="3">
        <v>7421.5420000000004</v>
      </c>
      <c r="M18" s="3">
        <v>11020.384</v>
      </c>
    </row>
    <row r="19" spans="1:13" ht="15" customHeight="1" outlineLevel="1" x14ac:dyDescent="0.2">
      <c r="B19" s="40" t="s">
        <v>123</v>
      </c>
      <c r="C19" s="4">
        <v>1063.692</v>
      </c>
      <c r="D19" s="4">
        <v>1632.9970000000001</v>
      </c>
      <c r="E19" s="4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  <c r="K19" s="4">
        <v>650.35199999999998</v>
      </c>
      <c r="L19" s="4">
        <v>1096.6990000000001</v>
      </c>
      <c r="M19" s="4">
        <v>1538.0840000000001</v>
      </c>
    </row>
    <row r="20" spans="1:13" ht="15" customHeight="1" outlineLevel="1" x14ac:dyDescent="0.2">
      <c r="B20" s="24" t="s">
        <v>124</v>
      </c>
      <c r="C20" s="97">
        <v>0.23186857789835721</v>
      </c>
      <c r="D20" s="97">
        <v>0.19660727221898022</v>
      </c>
      <c r="E20" s="97">
        <v>0.19010322821078332</v>
      </c>
      <c r="F20" s="97">
        <v>0.16445276886391988</v>
      </c>
      <c r="G20" s="97">
        <f t="shared" ref="G20:M20" si="0">G19/G18</f>
        <v>8.0735553981879191E-2</v>
      </c>
      <c r="H20" s="97">
        <f t="shared" si="0"/>
        <v>0.10553950313246709</v>
      </c>
      <c r="I20" s="97">
        <f t="shared" si="0"/>
        <v>8.5659576277218319E-2</v>
      </c>
      <c r="J20" s="97">
        <f t="shared" si="0"/>
        <v>7.7921075921379243E-2</v>
      </c>
      <c r="K20" s="97">
        <f t="shared" si="0"/>
        <v>0.17157007970524912</v>
      </c>
      <c r="L20" s="97">
        <f t="shared" si="0"/>
        <v>0.1477723901582717</v>
      </c>
      <c r="M20" s="97">
        <f t="shared" si="0"/>
        <v>0.13956718749546296</v>
      </c>
    </row>
    <row r="21" spans="1:13" ht="15" customHeight="1" outlineLevel="1" x14ac:dyDescent="0.2">
      <c r="B21" s="40" t="s">
        <v>125</v>
      </c>
      <c r="C21" s="98">
        <v>851.38400000000001</v>
      </c>
      <c r="D21" s="4">
        <v>1283.489</v>
      </c>
      <c r="E21" s="4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  <c r="K21" s="4">
        <v>306.58100000000002</v>
      </c>
      <c r="L21" s="4">
        <v>473.89</v>
      </c>
      <c r="M21" s="4">
        <v>738.71100000000001</v>
      </c>
    </row>
    <row r="22" spans="1:13" ht="15" customHeight="1" outlineLevel="1" x14ac:dyDescent="0.2">
      <c r="B22" s="24" t="s">
        <v>124</v>
      </c>
      <c r="C22" s="97">
        <v>0.18558868293210343</v>
      </c>
      <c r="D22" s="97">
        <v>0.15452770042631231</v>
      </c>
      <c r="E22" s="97">
        <v>0.14221831551636457</v>
      </c>
      <c r="F22" s="97">
        <v>0.10979607835295919</v>
      </c>
      <c r="G22" s="97">
        <f t="shared" ref="G22:M22" si="1">G21/G18</f>
        <v>-1.068254167852439E-2</v>
      </c>
      <c r="H22" s="97">
        <f t="shared" si="1"/>
        <v>1.2004196222519506E-2</v>
      </c>
      <c r="I22" s="97">
        <f t="shared" si="1"/>
        <v>-9.0304180239104206E-3</v>
      </c>
      <c r="J22" s="97">
        <f t="shared" si="1"/>
        <v>8.6276135296325696E-5</v>
      </c>
      <c r="K22" s="97">
        <f t="shared" si="1"/>
        <v>8.0879472356685286E-2</v>
      </c>
      <c r="L22" s="97">
        <f t="shared" si="1"/>
        <v>6.3853307035114798E-2</v>
      </c>
      <c r="M22" s="97">
        <f t="shared" si="1"/>
        <v>6.7031330305731635E-2</v>
      </c>
    </row>
    <row r="23" spans="1:13" ht="15" customHeight="1" outlineLevel="1" x14ac:dyDescent="0.2">
      <c r="B23" s="40" t="s">
        <v>126</v>
      </c>
      <c r="C23" s="4">
        <v>942.63599999999997</v>
      </c>
      <c r="D23" s="4">
        <v>1397.3579999999999</v>
      </c>
      <c r="E23" s="4">
        <v>1799.191</v>
      </c>
      <c r="F23" s="4">
        <v>1921.048</v>
      </c>
      <c r="G23" s="4">
        <v>123.64400000000001</v>
      </c>
      <c r="H23" s="4">
        <v>348.87400000000002</v>
      </c>
      <c r="I23" s="4">
        <v>376.83800000000002</v>
      </c>
      <c r="J23" s="4">
        <v>458.75200000000001</v>
      </c>
      <c r="K23" s="4">
        <v>516.12800000000004</v>
      </c>
      <c r="L23" s="4">
        <v>826.55200000000002</v>
      </c>
      <c r="M23" s="4">
        <v>1216.617</v>
      </c>
    </row>
    <row r="24" spans="1:13" ht="15" customHeight="1" outlineLevel="1" x14ac:dyDescent="0.2">
      <c r="B24" s="24" t="s">
        <v>124</v>
      </c>
      <c r="C24" s="97">
        <v>0.20548022246646194</v>
      </c>
      <c r="D24" s="97">
        <v>0.16823713986821148</v>
      </c>
      <c r="E24" s="97">
        <v>0.15926533275086827</v>
      </c>
      <c r="F24" s="97">
        <v>0.13154841004333662</v>
      </c>
      <c r="G24" s="97">
        <f t="shared" ref="G24:M24" si="2">G23/G18</f>
        <v>4.0915438426970756E-2</v>
      </c>
      <c r="H24" s="44">
        <f t="shared" si="2"/>
        <v>6.141772676915689E-2</v>
      </c>
      <c r="I24" s="44">
        <f t="shared" si="2"/>
        <v>4.5003169489590371E-2</v>
      </c>
      <c r="J24" s="44">
        <f t="shared" si="2"/>
        <v>3.9110029268241114E-2</v>
      </c>
      <c r="K24" s="44">
        <f t="shared" si="2"/>
        <v>0.13616029795881435</v>
      </c>
      <c r="L24" s="44">
        <f t="shared" si="2"/>
        <v>0.11137200328449262</v>
      </c>
      <c r="M24" s="44">
        <f t="shared" si="2"/>
        <v>0.11039696983335608</v>
      </c>
    </row>
    <row r="25" spans="1:13" ht="15" customHeight="1" outlineLevel="1" x14ac:dyDescent="0.2">
      <c r="B25" s="39" t="s">
        <v>128</v>
      </c>
      <c r="C25" s="87">
        <v>109.654</v>
      </c>
      <c r="D25" s="87">
        <v>168.08100000000002</v>
      </c>
      <c r="E25" s="87">
        <v>167.66500000000002</v>
      </c>
      <c r="F25" s="87">
        <v>230.91400000000004</v>
      </c>
      <c r="G25" s="87">
        <f>177.626-85.766</f>
        <v>91.86</v>
      </c>
      <c r="H25" s="87">
        <f>333.8-175.362</f>
        <v>158.43800000000002</v>
      </c>
      <c r="I25" s="87">
        <f>635.605-261.896</f>
        <v>373.709</v>
      </c>
      <c r="J25" s="87">
        <f>824.286-599.589</f>
        <v>224.69699999999989</v>
      </c>
      <c r="K25" s="87">
        <f>364.27-145.163</f>
        <v>219.10699999999997</v>
      </c>
      <c r="L25" s="87">
        <f>544.183-265.21</f>
        <v>278.97300000000001</v>
      </c>
      <c r="M25" s="87">
        <f>765.264-429.271</f>
        <v>335.99299999999999</v>
      </c>
    </row>
    <row r="26" spans="1:13" ht="15" customHeight="1" outlineLevel="1" x14ac:dyDescent="0.2">
      <c r="B26" s="84" t="s">
        <v>188</v>
      </c>
      <c r="C26" s="99">
        <v>971.05499999999995</v>
      </c>
      <c r="D26" s="99">
        <v>1460.625</v>
      </c>
      <c r="E26" s="99">
        <v>1793.89</v>
      </c>
      <c r="F26" s="99">
        <v>1777.0070000000001</v>
      </c>
      <c r="G26" s="99">
        <v>77.715999999999994</v>
      </c>
      <c r="H26" s="99">
        <v>259.48700000000002</v>
      </c>
      <c r="I26" s="99">
        <v>332.14400000000001</v>
      </c>
      <c r="J26" s="99">
        <v>229.47399999999999</v>
      </c>
      <c r="K26" s="99">
        <v>526.34900000000005</v>
      </c>
      <c r="L26" s="99">
        <v>991.21199999999999</v>
      </c>
      <c r="M26" s="99">
        <v>1456.75</v>
      </c>
    </row>
    <row r="27" spans="1:13" ht="15" customHeight="1" outlineLevel="1" x14ac:dyDescent="0.2">
      <c r="B27" s="39" t="s">
        <v>129</v>
      </c>
      <c r="C27" s="87">
        <v>-190.15</v>
      </c>
      <c r="D27" s="87">
        <v>-281.26400000000001</v>
      </c>
      <c r="E27" s="87">
        <v>-357.541</v>
      </c>
      <c r="F27" s="87">
        <v>-362.14800000000002</v>
      </c>
      <c r="G27" s="87">
        <v>-31.356999999999999</v>
      </c>
      <c r="H27" s="87">
        <f>-(95.169)-(22.896)</f>
        <v>-118.065</v>
      </c>
      <c r="I27" s="87">
        <v>-204.184</v>
      </c>
      <c r="J27" s="87">
        <v>-296.87200000000001</v>
      </c>
      <c r="K27" s="87">
        <v>-116.971</v>
      </c>
      <c r="L27" s="87">
        <v>-266.22500000000002</v>
      </c>
      <c r="M27" s="87">
        <v>-257.58100000000002</v>
      </c>
    </row>
    <row r="28" spans="1:13" ht="15" customHeight="1" outlineLevel="1" x14ac:dyDescent="0.2">
      <c r="B28" s="52" t="s">
        <v>127</v>
      </c>
      <c r="C28" s="53">
        <v>780.90499999999997</v>
      </c>
      <c r="D28" s="53">
        <v>1179.3610000000001</v>
      </c>
      <c r="E28" s="53">
        <v>1436.3489999999999</v>
      </c>
      <c r="F28" s="53">
        <v>1414.8589999999999</v>
      </c>
      <c r="G28" s="53">
        <v>46.359000000000002</v>
      </c>
      <c r="H28" s="53">
        <v>141.422</v>
      </c>
      <c r="I28" s="53">
        <v>127.96</v>
      </c>
      <c r="J28" s="53">
        <v>-67.397999999999996</v>
      </c>
      <c r="K28" s="53">
        <v>409.37799999999999</v>
      </c>
      <c r="L28" s="53">
        <v>724.98699999999997</v>
      </c>
      <c r="M28" s="53">
        <v>1199.1690000000001</v>
      </c>
    </row>
    <row r="29" spans="1:13" ht="15" customHeight="1" outlineLevel="1" x14ac:dyDescent="0.25">
      <c r="A29" s="75" t="s">
        <v>79</v>
      </c>
      <c r="B29" s="54" t="s">
        <v>124</v>
      </c>
      <c r="C29" s="55">
        <v>0.17022533950026572</v>
      </c>
      <c r="D29" s="55">
        <v>0.14199104417916797</v>
      </c>
      <c r="E29" s="55">
        <v>0.12714636824627118</v>
      </c>
      <c r="F29" s="55">
        <v>9.6885893473513007E-2</v>
      </c>
      <c r="G29" s="55">
        <f t="shared" ref="G29:M29" si="3">G28/G18</f>
        <v>1.5340807560706037E-2</v>
      </c>
      <c r="H29" s="55">
        <f t="shared" si="3"/>
        <v>2.4896718457516769E-2</v>
      </c>
      <c r="I29" s="55">
        <f t="shared" si="3"/>
        <v>1.5281382365600027E-2</v>
      </c>
      <c r="J29" s="55">
        <f t="shared" si="3"/>
        <v>-5.7458883070175487E-3</v>
      </c>
      <c r="K29" s="55">
        <f t="shared" si="3"/>
        <v>0.10799846250888054</v>
      </c>
      <c r="L29" s="55">
        <f t="shared" si="3"/>
        <v>9.7686841898893775E-2</v>
      </c>
      <c r="M29" s="55">
        <f t="shared" si="3"/>
        <v>0.10881372191749399</v>
      </c>
    </row>
    <row r="32" spans="1:13" ht="20.100000000000001" customHeight="1" outlineLevel="1" x14ac:dyDescent="0.2">
      <c r="B32" s="34" t="s">
        <v>131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outlineLevel="1" x14ac:dyDescent="0.2">
      <c r="B33" s="33" t="s">
        <v>121</v>
      </c>
      <c r="C33" s="37" t="s">
        <v>186</v>
      </c>
      <c r="D33" s="37" t="s">
        <v>189</v>
      </c>
      <c r="E33" s="37" t="s">
        <v>193</v>
      </c>
      <c r="F33" s="37" t="s">
        <v>194</v>
      </c>
      <c r="G33" s="37" t="s">
        <v>196</v>
      </c>
      <c r="H33" s="37" t="s">
        <v>220</v>
      </c>
      <c r="I33" s="37" t="s">
        <v>221</v>
      </c>
      <c r="J33" s="37" t="s">
        <v>226</v>
      </c>
      <c r="K33" s="37" t="s">
        <v>236</v>
      </c>
      <c r="L33" s="37" t="s">
        <v>237</v>
      </c>
      <c r="M33" s="37" t="s">
        <v>241</v>
      </c>
    </row>
    <row r="34" spans="1:13" ht="15" customHeight="1" outlineLevel="1" x14ac:dyDescent="0.2">
      <c r="B34" s="10" t="s">
        <v>122</v>
      </c>
      <c r="C34" s="43">
        <f>+C18</f>
        <v>4587.4780000000001</v>
      </c>
      <c r="D34" s="43">
        <f t="shared" ref="D34:F35" si="4">+D18-C18</f>
        <v>3718.4049999999997</v>
      </c>
      <c r="E34" s="43">
        <f t="shared" si="4"/>
        <v>2990.9320000000007</v>
      </c>
      <c r="F34" s="43">
        <f t="shared" si="4"/>
        <v>3306.5389999999989</v>
      </c>
      <c r="G34" s="43">
        <f>+G18</f>
        <v>3021.94</v>
      </c>
      <c r="H34" s="43">
        <f t="shared" ref="H34:M35" si="5">+H18-G18</f>
        <v>2658.4069999999997</v>
      </c>
      <c r="I34" s="43">
        <f t="shared" si="5"/>
        <v>2693.241</v>
      </c>
      <c r="J34" s="43">
        <f t="shared" si="5"/>
        <v>3356.1910000000007</v>
      </c>
      <c r="K34" s="43">
        <f>+K18</f>
        <v>3790.5909999999999</v>
      </c>
      <c r="L34" s="43">
        <f t="shared" si="5"/>
        <v>3630.9510000000005</v>
      </c>
      <c r="M34" s="43">
        <f t="shared" si="5"/>
        <v>3598.8419999999996</v>
      </c>
    </row>
    <row r="35" spans="1:13" ht="15" customHeight="1" outlineLevel="1" x14ac:dyDescent="0.2">
      <c r="B35" s="40" t="s">
        <v>123</v>
      </c>
      <c r="C35" s="4">
        <f>+C19</f>
        <v>1063.692</v>
      </c>
      <c r="D35" s="4">
        <f t="shared" si="4"/>
        <v>569.30500000000006</v>
      </c>
      <c r="E35" s="4">
        <f t="shared" si="4"/>
        <v>514.56400000000008</v>
      </c>
      <c r="F35" s="4">
        <f t="shared" si="4"/>
        <v>254.00099999999975</v>
      </c>
      <c r="G35" s="4">
        <f>+G19</f>
        <v>243.97800000000001</v>
      </c>
      <c r="H35" s="4">
        <f t="shared" si="5"/>
        <v>355.52299999999997</v>
      </c>
      <c r="I35" s="4">
        <f t="shared" si="5"/>
        <v>117.77700000000004</v>
      </c>
      <c r="J35" s="4">
        <f t="shared" si="5"/>
        <v>196.71899999999994</v>
      </c>
      <c r="K35" s="4">
        <f>+K19</f>
        <v>650.35199999999998</v>
      </c>
      <c r="L35" s="4">
        <f t="shared" si="5"/>
        <v>446.34700000000009</v>
      </c>
      <c r="M35" s="4">
        <f t="shared" si="5"/>
        <v>441.38499999999999</v>
      </c>
    </row>
    <row r="36" spans="1:13" ht="15" customHeight="1" outlineLevel="1" x14ac:dyDescent="0.2">
      <c r="B36" s="24" t="s">
        <v>124</v>
      </c>
      <c r="C36" s="97">
        <f t="shared" ref="C36:I36" si="6">+C35/C34</f>
        <v>0.23186857789835721</v>
      </c>
      <c r="D36" s="97">
        <f t="shared" si="6"/>
        <v>0.15310462416009019</v>
      </c>
      <c r="E36" s="97">
        <f t="shared" si="6"/>
        <v>0.17204135700845086</v>
      </c>
      <c r="F36" s="97">
        <f t="shared" si="6"/>
        <v>7.681778439631283E-2</v>
      </c>
      <c r="G36" s="97">
        <f t="shared" si="6"/>
        <v>8.0735553981879191E-2</v>
      </c>
      <c r="H36" s="44">
        <f t="shared" si="6"/>
        <v>0.13373535354067304</v>
      </c>
      <c r="I36" s="44">
        <f t="shared" si="6"/>
        <v>4.3730583338067425E-2</v>
      </c>
      <c r="J36" s="44">
        <f t="shared" ref="J36:L36" si="7">+J35/J34</f>
        <v>5.8613767809996477E-2</v>
      </c>
      <c r="K36" s="44">
        <f t="shared" si="7"/>
        <v>0.17157007970524912</v>
      </c>
      <c r="L36" s="44">
        <f t="shared" si="7"/>
        <v>0.12292840085145738</v>
      </c>
      <c r="M36" s="44">
        <f t="shared" ref="M36" si="8">+M35/M34</f>
        <v>0.12264639570172851</v>
      </c>
    </row>
    <row r="37" spans="1:13" ht="15" customHeight="1" outlineLevel="1" x14ac:dyDescent="0.2">
      <c r="B37" s="40" t="s">
        <v>125</v>
      </c>
      <c r="C37" s="98">
        <f>+C21</f>
        <v>851.38400000000001</v>
      </c>
      <c r="D37" s="98">
        <f>+D21-C21</f>
        <v>432.10500000000002</v>
      </c>
      <c r="E37" s="98">
        <f>+E21-D21</f>
        <v>323.125</v>
      </c>
      <c r="F37" s="98">
        <f>+F21-E21</f>
        <v>-3.2229999999999563</v>
      </c>
      <c r="G37" s="98">
        <f>+G21</f>
        <v>-32.281999999999996</v>
      </c>
      <c r="H37" s="98">
        <f>+H21-G21</f>
        <v>100.47</v>
      </c>
      <c r="I37" s="98">
        <f>+I21-H21</f>
        <v>-143.80500000000001</v>
      </c>
      <c r="J37" s="98">
        <f>+J21-I21</f>
        <v>76.629000000000005</v>
      </c>
      <c r="K37" s="98">
        <f>+K21</f>
        <v>306.58100000000002</v>
      </c>
      <c r="L37" s="98">
        <f>+L21-K21</f>
        <v>167.30899999999997</v>
      </c>
      <c r="M37" s="98">
        <f>+M21-L21</f>
        <v>264.82100000000003</v>
      </c>
    </row>
    <row r="38" spans="1:13" ht="15" customHeight="1" outlineLevel="1" x14ac:dyDescent="0.2">
      <c r="B38" s="24" t="s">
        <v>124</v>
      </c>
      <c r="C38" s="97">
        <f t="shared" ref="C38:I38" si="9">+C37/C34</f>
        <v>0.18558868293210343</v>
      </c>
      <c r="D38" s="97">
        <f t="shared" si="9"/>
        <v>0.11620708341345283</v>
      </c>
      <c r="E38" s="97">
        <f t="shared" si="9"/>
        <v>0.10803488678445379</v>
      </c>
      <c r="F38" s="97">
        <f t="shared" si="9"/>
        <v>-9.7473521407125618E-4</v>
      </c>
      <c r="G38" s="97">
        <f t="shared" si="9"/>
        <v>-1.068254167852439E-2</v>
      </c>
      <c r="H38" s="44">
        <f t="shared" si="9"/>
        <v>3.7793310053727672E-2</v>
      </c>
      <c r="I38" s="44">
        <f t="shared" si="9"/>
        <v>-5.339477603378235E-2</v>
      </c>
      <c r="J38" s="44">
        <f t="shared" ref="J38:L38" si="10">+J37/J34</f>
        <v>2.2832133212919048E-2</v>
      </c>
      <c r="K38" s="44">
        <f t="shared" si="10"/>
        <v>8.0879472356685286E-2</v>
      </c>
      <c r="L38" s="44">
        <f t="shared" si="10"/>
        <v>4.6078561787256271E-2</v>
      </c>
      <c r="M38" s="44">
        <f t="shared" ref="M38" si="11">+M37/M34</f>
        <v>7.3585058749453314E-2</v>
      </c>
    </row>
    <row r="39" spans="1:13" ht="15" customHeight="1" outlineLevel="1" x14ac:dyDescent="0.2">
      <c r="B39" s="40" t="s">
        <v>126</v>
      </c>
      <c r="C39" s="4">
        <f>+C23</f>
        <v>942.63599999999997</v>
      </c>
      <c r="D39" s="4">
        <f>+D23-C23</f>
        <v>454.72199999999998</v>
      </c>
      <c r="E39" s="4">
        <f>+E23-D23</f>
        <v>401.83300000000008</v>
      </c>
      <c r="F39" s="4">
        <f>+F23-E23</f>
        <v>121.85699999999997</v>
      </c>
      <c r="G39" s="4">
        <f>+G23</f>
        <v>123.64400000000001</v>
      </c>
      <c r="H39" s="4">
        <f>+H23-G23</f>
        <v>225.23000000000002</v>
      </c>
      <c r="I39" s="4">
        <f>+I23-H23</f>
        <v>27.963999999999999</v>
      </c>
      <c r="J39" s="4">
        <f>+J23-I23</f>
        <v>81.913999999999987</v>
      </c>
      <c r="K39" s="4">
        <f>+K23</f>
        <v>516.12800000000004</v>
      </c>
      <c r="L39" s="4">
        <f>+L23-K23</f>
        <v>310.42399999999998</v>
      </c>
      <c r="M39" s="4">
        <f>+M23-L23</f>
        <v>390.06499999999994</v>
      </c>
    </row>
    <row r="40" spans="1:13" ht="15" customHeight="1" outlineLevel="1" x14ac:dyDescent="0.2">
      <c r="B40" s="24" t="s">
        <v>124</v>
      </c>
      <c r="C40" s="97">
        <f t="shared" ref="C40:I40" si="12">+C39/C34</f>
        <v>0.20548022246646194</v>
      </c>
      <c r="D40" s="97">
        <f t="shared" si="12"/>
        <v>0.12228953005388063</v>
      </c>
      <c r="E40" s="97">
        <f t="shared" si="12"/>
        <v>0.13435042989944271</v>
      </c>
      <c r="F40" s="97">
        <f t="shared" si="12"/>
        <v>3.6853338188359494E-2</v>
      </c>
      <c r="G40" s="97">
        <f t="shared" si="12"/>
        <v>4.0915438426970756E-2</v>
      </c>
      <c r="H40" s="44">
        <f t="shared" si="12"/>
        <v>8.472367098040294E-2</v>
      </c>
      <c r="I40" s="44">
        <f t="shared" si="12"/>
        <v>1.03830292201849E-2</v>
      </c>
      <c r="J40" s="44">
        <f t="shared" ref="J40:L40" si="13">+J39/J34</f>
        <v>2.440683501028397E-2</v>
      </c>
      <c r="K40" s="44">
        <f t="shared" si="13"/>
        <v>0.13616029795881435</v>
      </c>
      <c r="L40" s="44">
        <f t="shared" si="13"/>
        <v>8.54938554665155E-2</v>
      </c>
      <c r="M40" s="44">
        <f t="shared" ref="M40" si="14">+M39/M34</f>
        <v>0.10838625313364687</v>
      </c>
    </row>
    <row r="41" spans="1:13" ht="15" customHeight="1" outlineLevel="1" x14ac:dyDescent="0.2">
      <c r="B41" s="39" t="s">
        <v>128</v>
      </c>
      <c r="C41" s="87">
        <f>+C25</f>
        <v>109.654</v>
      </c>
      <c r="D41" s="87">
        <f t="shared" ref="D41:F44" si="15">+D25-C25</f>
        <v>58.427000000000021</v>
      </c>
      <c r="E41" s="87">
        <f t="shared" si="15"/>
        <v>-0.41599999999999682</v>
      </c>
      <c r="F41" s="87">
        <f t="shared" si="15"/>
        <v>63.249000000000024</v>
      </c>
      <c r="G41" s="87">
        <f>+G25</f>
        <v>91.86</v>
      </c>
      <c r="H41" s="87">
        <f t="shared" ref="H41:M44" si="16">+H25-G25</f>
        <v>66.578000000000017</v>
      </c>
      <c r="I41" s="87">
        <f t="shared" si="16"/>
        <v>215.27099999999999</v>
      </c>
      <c r="J41" s="87">
        <f t="shared" si="16"/>
        <v>-149.01200000000011</v>
      </c>
      <c r="K41" s="87">
        <f>+K25</f>
        <v>219.10699999999997</v>
      </c>
      <c r="L41" s="87">
        <f t="shared" si="16"/>
        <v>59.866000000000042</v>
      </c>
      <c r="M41" s="87">
        <f t="shared" si="16"/>
        <v>57.019999999999982</v>
      </c>
    </row>
    <row r="42" spans="1:13" ht="15" customHeight="1" outlineLevel="1" x14ac:dyDescent="0.2">
      <c r="B42" s="84" t="s">
        <v>188</v>
      </c>
      <c r="C42" s="100">
        <f>+C26</f>
        <v>971.05499999999995</v>
      </c>
      <c r="D42" s="100">
        <f t="shared" si="15"/>
        <v>489.57000000000005</v>
      </c>
      <c r="E42" s="100">
        <f t="shared" si="15"/>
        <v>333.2650000000001</v>
      </c>
      <c r="F42" s="100">
        <f t="shared" si="15"/>
        <v>-16.883000000000038</v>
      </c>
      <c r="G42" s="100">
        <f>+G26</f>
        <v>77.715999999999994</v>
      </c>
      <c r="H42" s="100">
        <f t="shared" si="16"/>
        <v>181.77100000000002</v>
      </c>
      <c r="I42" s="100">
        <f t="shared" si="16"/>
        <v>72.656999999999982</v>
      </c>
      <c r="J42" s="100">
        <f t="shared" si="16"/>
        <v>-102.67000000000002</v>
      </c>
      <c r="K42" s="100">
        <f>+K26</f>
        <v>526.34900000000005</v>
      </c>
      <c r="L42" s="100">
        <f t="shared" si="16"/>
        <v>464.86299999999994</v>
      </c>
      <c r="M42" s="100">
        <f t="shared" si="16"/>
        <v>465.53800000000001</v>
      </c>
    </row>
    <row r="43" spans="1:13" ht="15" customHeight="1" outlineLevel="1" x14ac:dyDescent="0.2">
      <c r="B43" s="39" t="s">
        <v>129</v>
      </c>
      <c r="C43" s="87">
        <f>+C27</f>
        <v>-190.15</v>
      </c>
      <c r="D43" s="87">
        <f t="shared" si="15"/>
        <v>-91.114000000000004</v>
      </c>
      <c r="E43" s="87">
        <f t="shared" si="15"/>
        <v>-76.276999999999987</v>
      </c>
      <c r="F43" s="87">
        <f t="shared" si="15"/>
        <v>-4.6070000000000277</v>
      </c>
      <c r="G43" s="87">
        <f>+G27</f>
        <v>-31.356999999999999</v>
      </c>
      <c r="H43" s="87">
        <f t="shared" si="16"/>
        <v>-86.707999999999998</v>
      </c>
      <c r="I43" s="87">
        <f t="shared" si="16"/>
        <v>-86.119</v>
      </c>
      <c r="J43" s="87">
        <f t="shared" si="16"/>
        <v>-92.688000000000017</v>
      </c>
      <c r="K43" s="87">
        <f>+K27</f>
        <v>-116.971</v>
      </c>
      <c r="L43" s="87">
        <f t="shared" si="16"/>
        <v>-149.25400000000002</v>
      </c>
      <c r="M43" s="87">
        <f t="shared" si="16"/>
        <v>8.6440000000000055</v>
      </c>
    </row>
    <row r="44" spans="1:13" ht="15" customHeight="1" outlineLevel="1" x14ac:dyDescent="0.2">
      <c r="B44" s="52" t="s">
        <v>127</v>
      </c>
      <c r="C44" s="53">
        <f>+C28</f>
        <v>780.90499999999997</v>
      </c>
      <c r="D44" s="53">
        <f t="shared" si="15"/>
        <v>398.45600000000013</v>
      </c>
      <c r="E44" s="53">
        <f t="shared" si="15"/>
        <v>256.98799999999983</v>
      </c>
      <c r="F44" s="53">
        <f t="shared" si="15"/>
        <v>-21.490000000000009</v>
      </c>
      <c r="G44" s="53">
        <f>+G28</f>
        <v>46.359000000000002</v>
      </c>
      <c r="H44" s="53">
        <f t="shared" si="16"/>
        <v>95.062999999999988</v>
      </c>
      <c r="I44" s="53">
        <f t="shared" si="16"/>
        <v>-13.462000000000003</v>
      </c>
      <c r="J44" s="53">
        <f t="shared" si="16"/>
        <v>-195.358</v>
      </c>
      <c r="K44" s="53">
        <f>+K28</f>
        <v>409.37799999999999</v>
      </c>
      <c r="L44" s="53">
        <f t="shared" si="16"/>
        <v>315.60899999999998</v>
      </c>
      <c r="M44" s="53">
        <f t="shared" si="16"/>
        <v>474.18200000000013</v>
      </c>
    </row>
    <row r="45" spans="1:13" ht="15" customHeight="1" outlineLevel="1" x14ac:dyDescent="0.25">
      <c r="A45" s="75" t="s">
        <v>79</v>
      </c>
      <c r="B45" s="54" t="s">
        <v>124</v>
      </c>
      <c r="C45" s="55">
        <f t="shared" ref="C45:I45" si="17">+C44/C34</f>
        <v>0.17022533950026572</v>
      </c>
      <c r="D45" s="55">
        <f t="shared" si="17"/>
        <v>0.10715777329258114</v>
      </c>
      <c r="E45" s="55">
        <f t="shared" si="17"/>
        <v>8.5922381384799046E-2</v>
      </c>
      <c r="F45" s="55">
        <f t="shared" si="17"/>
        <v>-6.4992428639129964E-3</v>
      </c>
      <c r="G45" s="55">
        <f t="shared" si="17"/>
        <v>1.5340807560706037E-2</v>
      </c>
      <c r="H45" s="55">
        <f t="shared" si="17"/>
        <v>3.5759385225813803E-2</v>
      </c>
      <c r="I45" s="55">
        <f t="shared" si="17"/>
        <v>-4.9984386840984532E-3</v>
      </c>
      <c r="J45" s="55">
        <f t="shared" ref="J45:L45" si="18">+J44/J34</f>
        <v>-5.8208248577032703E-2</v>
      </c>
      <c r="K45" s="55">
        <f t="shared" si="18"/>
        <v>0.10799846250888054</v>
      </c>
      <c r="L45" s="55">
        <f t="shared" si="18"/>
        <v>8.6921856009623905E-2</v>
      </c>
      <c r="M45" s="55">
        <f t="shared" ref="M45" si="19">+M44/M34</f>
        <v>0.13175960489513019</v>
      </c>
    </row>
    <row r="48" spans="1:13" ht="20.100000000000001" customHeight="1" outlineLevel="1" x14ac:dyDescent="0.2">
      <c r="B48" s="34" t="s">
        <v>162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outlineLevel="1" x14ac:dyDescent="0.2">
      <c r="B49" s="36" t="s">
        <v>132</v>
      </c>
      <c r="C49" s="37" t="s">
        <v>187</v>
      </c>
      <c r="D49" s="37" t="s">
        <v>190</v>
      </c>
      <c r="E49" s="37" t="s">
        <v>192</v>
      </c>
      <c r="F49" s="37">
        <v>2019</v>
      </c>
      <c r="G49" s="37" t="s">
        <v>197</v>
      </c>
      <c r="H49" s="37" t="s">
        <v>216</v>
      </c>
      <c r="I49" s="37" t="s">
        <v>222</v>
      </c>
      <c r="J49" s="37">
        <v>2020</v>
      </c>
      <c r="K49" s="37" t="s">
        <v>235</v>
      </c>
      <c r="L49" s="37" t="s">
        <v>238</v>
      </c>
      <c r="M49" s="37" t="s">
        <v>242</v>
      </c>
    </row>
    <row r="50" spans="2:13" ht="15" customHeight="1" outlineLevel="1" x14ac:dyDescent="0.2">
      <c r="B50" s="48" t="s">
        <v>201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94">
        <v>7107.5069999999996</v>
      </c>
      <c r="K50" s="94">
        <v>2094.9929999999999</v>
      </c>
      <c r="L50" s="94">
        <v>4009.6460000000002</v>
      </c>
      <c r="M50" s="94">
        <v>5978.6559999999999</v>
      </c>
    </row>
    <row r="51" spans="2:13" ht="15" customHeight="1" outlineLevel="1" x14ac:dyDescent="0.2">
      <c r="B51" s="101" t="s">
        <v>202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94">
        <v>3887.8069999999998</v>
      </c>
      <c r="K51" s="94">
        <v>1560.693</v>
      </c>
      <c r="L51" s="94">
        <v>3084.3249999999998</v>
      </c>
      <c r="M51" s="94">
        <v>4484.8440000000001</v>
      </c>
    </row>
    <row r="52" spans="2:13" ht="15" customHeight="1" outlineLevel="1" x14ac:dyDescent="0.2">
      <c r="B52" s="101" t="s">
        <v>203</v>
      </c>
      <c r="C52" s="102">
        <v>4.3070000000000004</v>
      </c>
      <c r="D52" s="102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94">
        <v>200.589</v>
      </c>
      <c r="K52" s="94">
        <v>5.258</v>
      </c>
      <c r="L52" s="94">
        <v>58.183999999999997</v>
      </c>
      <c r="M52" s="94">
        <v>109.444</v>
      </c>
    </row>
    <row r="53" spans="2:13" ht="15" customHeight="1" outlineLevel="1" x14ac:dyDescent="0.2">
      <c r="B53" s="101" t="s">
        <v>212</v>
      </c>
      <c r="C53" s="102">
        <v>76.504000000000005</v>
      </c>
      <c r="D53" s="102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94">
        <v>486.24400000000003</v>
      </c>
      <c r="K53" s="94">
        <v>118.176</v>
      </c>
      <c r="L53" s="94">
        <v>245.75899999999999</v>
      </c>
      <c r="M53" s="94">
        <v>387.57100000000003</v>
      </c>
    </row>
    <row r="54" spans="2:13" ht="15" customHeight="1" outlineLevel="1" x14ac:dyDescent="0.2">
      <c r="B54" s="101" t="s">
        <v>213</v>
      </c>
      <c r="C54" s="102">
        <v>10.391</v>
      </c>
      <c r="D54" s="102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94">
        <v>47.631999999999998</v>
      </c>
      <c r="K54" s="94">
        <v>11.471</v>
      </c>
      <c r="L54" s="94">
        <v>23.628</v>
      </c>
      <c r="M54" s="94">
        <v>59.869</v>
      </c>
    </row>
    <row r="55" spans="2:13" ht="15" customHeight="1" outlineLevel="1" x14ac:dyDescent="0.2">
      <c r="B55" s="49" t="s">
        <v>133</v>
      </c>
      <c r="C55" s="50">
        <v>4587.4780000000001</v>
      </c>
      <c r="D55" s="50">
        <v>8305.8829999999998</v>
      </c>
      <c r="E55" s="50">
        <v>11296.815000000001</v>
      </c>
      <c r="F55" s="50">
        <v>14603.353999999999</v>
      </c>
      <c r="G55" s="50">
        <v>3021.94</v>
      </c>
      <c r="H55" s="50">
        <v>5680.3469999999998</v>
      </c>
      <c r="I55" s="50">
        <v>8373.5879999999997</v>
      </c>
      <c r="J55" s="95">
        <v>11729.779</v>
      </c>
      <c r="K55" s="95">
        <v>3790.5909999999999</v>
      </c>
      <c r="L55" s="95">
        <v>7421.5420000000004</v>
      </c>
      <c r="M55" s="95">
        <v>11020.384</v>
      </c>
    </row>
    <row r="56" spans="2:13" ht="15" customHeight="1" outlineLevel="1" x14ac:dyDescent="0.2">
      <c r="B56" s="48" t="s">
        <v>201</v>
      </c>
      <c r="C56" s="3">
        <v>808.57500000000005</v>
      </c>
      <c r="D56" s="3">
        <v>1083.232</v>
      </c>
      <c r="E56" s="3">
        <v>1407.6569999999999</v>
      </c>
      <c r="F56" s="94">
        <v>1451.404</v>
      </c>
      <c r="G56" s="3">
        <v>-46.23</v>
      </c>
      <c r="H56" s="3">
        <v>44.726999999999997</v>
      </c>
      <c r="I56" s="3">
        <v>-165.334</v>
      </c>
      <c r="J56" s="94">
        <v>-343.92399999999998</v>
      </c>
      <c r="K56" s="94">
        <v>108.807</v>
      </c>
      <c r="L56" s="94">
        <v>156.649</v>
      </c>
      <c r="M56" s="94">
        <v>268.74900000000002</v>
      </c>
    </row>
    <row r="57" spans="2:13" ht="15" customHeight="1" outlineLevel="1" x14ac:dyDescent="0.2">
      <c r="B57" s="101" t="s">
        <v>202</v>
      </c>
      <c r="C57" s="3">
        <v>150.38499999999999</v>
      </c>
      <c r="D57" s="3">
        <v>314.87200000000001</v>
      </c>
      <c r="E57" s="3">
        <v>395.22699999999998</v>
      </c>
      <c r="F57" s="94">
        <v>457.57400000000001</v>
      </c>
      <c r="G57" s="3">
        <v>174.47800000000001</v>
      </c>
      <c r="H57" s="3">
        <v>280.892</v>
      </c>
      <c r="I57" s="3">
        <v>477.90199999999999</v>
      </c>
      <c r="J57" s="94">
        <v>735.76800000000003</v>
      </c>
      <c r="K57" s="94">
        <v>390.637</v>
      </c>
      <c r="L57" s="94">
        <v>703.80700000000002</v>
      </c>
      <c r="M57" s="94">
        <v>950.798</v>
      </c>
    </row>
    <row r="58" spans="2:13" ht="15" customHeight="1" outlineLevel="1" x14ac:dyDescent="0.2">
      <c r="B58" s="101" t="s">
        <v>203</v>
      </c>
      <c r="C58" s="3">
        <v>-2.7970000000000002</v>
      </c>
      <c r="D58" s="3">
        <v>5.516</v>
      </c>
      <c r="E58" s="3">
        <v>-0.98499999999999999</v>
      </c>
      <c r="F58" s="94">
        <v>-7.9329999999999998</v>
      </c>
      <c r="G58" s="3">
        <v>-7.9269999999999996</v>
      </c>
      <c r="H58" s="3">
        <v>-6.0750000000000002</v>
      </c>
      <c r="I58" s="3">
        <v>-11.526</v>
      </c>
      <c r="J58" s="94">
        <v>-28.100999999999999</v>
      </c>
      <c r="K58" s="94">
        <v>-11.398999999999999</v>
      </c>
      <c r="L58" s="94">
        <v>-20.225000000000001</v>
      </c>
      <c r="M58" s="94">
        <v>-26.478000000000002</v>
      </c>
    </row>
    <row r="59" spans="2:13" ht="15" customHeight="1" outlineLevel="1" x14ac:dyDescent="0.2">
      <c r="B59" s="101" t="s">
        <v>212</v>
      </c>
      <c r="C59" s="3">
        <v>13.757</v>
      </c>
      <c r="D59" s="3">
        <v>45.43</v>
      </c>
      <c r="E59" s="3">
        <v>64.617999999999995</v>
      </c>
      <c r="F59" s="94">
        <v>103.712</v>
      </c>
      <c r="G59" s="3">
        <v>25.042999999999999</v>
      </c>
      <c r="H59" s="3">
        <v>74.86</v>
      </c>
      <c r="I59" s="3">
        <v>133.755</v>
      </c>
      <c r="J59" s="94">
        <v>175.828</v>
      </c>
      <c r="K59" s="94">
        <v>39.512999999999998</v>
      </c>
      <c r="L59" s="94">
        <v>76.346999999999994</v>
      </c>
      <c r="M59" s="94">
        <v>109.102</v>
      </c>
    </row>
    <row r="60" spans="2:13" ht="15" customHeight="1" outlineLevel="1" x14ac:dyDescent="0.2">
      <c r="B60" s="101" t="s">
        <v>213</v>
      </c>
      <c r="C60" s="102">
        <v>-27.283999999999999</v>
      </c>
      <c r="D60" s="102">
        <v>-51.692</v>
      </c>
      <c r="E60" s="3">
        <v>-67.325999999999993</v>
      </c>
      <c r="F60" s="94">
        <v>-83.709000000000003</v>
      </c>
      <c r="G60" s="3">
        <v>-21.72</v>
      </c>
      <c r="H60" s="3">
        <v>-45.53</v>
      </c>
      <c r="I60" s="3">
        <v>-57.959000000000003</v>
      </c>
      <c r="J60" s="94">
        <v>-80.819000000000003</v>
      </c>
      <c r="K60" s="94">
        <v>-11.43</v>
      </c>
      <c r="L60" s="94">
        <v>-90.025999999999996</v>
      </c>
      <c r="M60" s="94">
        <v>-85.554000000000002</v>
      </c>
    </row>
    <row r="61" spans="2:13" ht="15" customHeight="1" outlineLevel="1" x14ac:dyDescent="0.2">
      <c r="B61" s="49" t="s">
        <v>134</v>
      </c>
      <c r="C61" s="50">
        <v>942.63599999999997</v>
      </c>
      <c r="D61" s="50">
        <v>1397.3579999999999</v>
      </c>
      <c r="E61" s="50">
        <v>1799.191</v>
      </c>
      <c r="F61" s="50">
        <v>1921.048</v>
      </c>
      <c r="G61" s="50">
        <v>123.64400000000001</v>
      </c>
      <c r="H61" s="50">
        <v>348.87400000000002</v>
      </c>
      <c r="I61" s="50">
        <v>376.83800000000002</v>
      </c>
      <c r="J61" s="50">
        <v>458.75799999999879</v>
      </c>
      <c r="K61" s="50">
        <v>516.12800000000004</v>
      </c>
      <c r="L61" s="50">
        <v>826.55200000000002</v>
      </c>
      <c r="M61" s="50">
        <v>1216.617</v>
      </c>
    </row>
    <row r="62" spans="2:13" ht="15" customHeight="1" outlineLevel="1" x14ac:dyDescent="0.2">
      <c r="B62" s="48" t="s">
        <v>201</v>
      </c>
      <c r="C62" s="102">
        <v>633.46900000000005</v>
      </c>
      <c r="D62" s="102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94">
        <v>-666.65200000000004</v>
      </c>
      <c r="K62" s="94">
        <v>11.666</v>
      </c>
      <c r="L62" s="94">
        <v>-50.683</v>
      </c>
      <c r="M62" s="94">
        <v>-13.166</v>
      </c>
    </row>
    <row r="63" spans="2:13" ht="15" customHeight="1" outlineLevel="1" x14ac:dyDescent="0.2">
      <c r="B63" s="101" t="s">
        <v>202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94">
        <v>450.57</v>
      </c>
      <c r="K63" s="94">
        <v>310.35599999999999</v>
      </c>
      <c r="L63" s="94">
        <v>534.43200000000002</v>
      </c>
      <c r="M63" s="94">
        <v>831.90300000000002</v>
      </c>
    </row>
    <row r="64" spans="2:13" ht="15" customHeight="1" outlineLevel="1" x14ac:dyDescent="0.2">
      <c r="B64" s="101" t="s">
        <v>203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94">
        <v>-66.162000000000006</v>
      </c>
      <c r="K64" s="94">
        <v>-30.324000000000002</v>
      </c>
      <c r="L64" s="94">
        <v>-53.088000000000001</v>
      </c>
      <c r="M64" s="94">
        <v>-70.902000000000001</v>
      </c>
    </row>
    <row r="65" spans="1:13" ht="15" customHeight="1" outlineLevel="1" x14ac:dyDescent="0.2">
      <c r="B65" s="101" t="s">
        <v>212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94">
        <v>131.721</v>
      </c>
      <c r="K65" s="94">
        <v>32.026000000000003</v>
      </c>
      <c r="L65" s="94">
        <v>53.728000000000002</v>
      </c>
      <c r="M65" s="94">
        <v>75.022000000000006</v>
      </c>
    </row>
    <row r="66" spans="1:13" ht="15" customHeight="1" outlineLevel="1" x14ac:dyDescent="0.2">
      <c r="B66" s="101" t="s">
        <v>213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94">
        <v>83.125</v>
      </c>
      <c r="K66" s="94">
        <v>85.653999999999996</v>
      </c>
      <c r="L66" s="94">
        <v>240.59800000000001</v>
      </c>
      <c r="M66" s="94">
        <v>376.31200000000001</v>
      </c>
    </row>
    <row r="67" spans="1:13" ht="15" customHeight="1" outlineLevel="1" x14ac:dyDescent="0.25">
      <c r="A67" s="75" t="s">
        <v>79</v>
      </c>
      <c r="B67" s="49" t="s">
        <v>135</v>
      </c>
      <c r="C67" s="50">
        <v>780.90499999999997</v>
      </c>
      <c r="D67" s="50">
        <v>1179.3610000000001</v>
      </c>
      <c r="E67" s="50">
        <v>1436.3489999999999</v>
      </c>
      <c r="F67" s="50">
        <v>1414.8589999999999</v>
      </c>
      <c r="G67" s="50">
        <v>46.359000000000002</v>
      </c>
      <c r="H67" s="50">
        <v>141.422</v>
      </c>
      <c r="I67" s="50">
        <v>127.96</v>
      </c>
      <c r="J67" s="50">
        <v>-67.397999999999996</v>
      </c>
      <c r="K67" s="50">
        <v>409.37799999999999</v>
      </c>
      <c r="L67" s="50">
        <v>724.98699999999997</v>
      </c>
      <c r="M67" s="50">
        <v>1199.1690000000001</v>
      </c>
    </row>
    <row r="68" spans="1:13" ht="15" customHeight="1" x14ac:dyDescent="0.2">
      <c r="B68" s="103"/>
      <c r="C68" s="102"/>
      <c r="D68" s="102"/>
      <c r="E68" s="102"/>
      <c r="F68" s="102"/>
    </row>
    <row r="69" spans="1:13" ht="15" customHeight="1" x14ac:dyDescent="0.2">
      <c r="B69" s="103"/>
      <c r="C69" s="102"/>
      <c r="D69" s="102"/>
      <c r="E69" s="102"/>
      <c r="F69" s="102"/>
    </row>
    <row r="70" spans="1:13" ht="20.100000000000001" customHeight="1" outlineLevel="1" x14ac:dyDescent="0.2">
      <c r="B70" s="34" t="s">
        <v>232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5" customHeight="1" outlineLevel="1" x14ac:dyDescent="0.2">
      <c r="B71" s="48" t="s">
        <v>201</v>
      </c>
      <c r="C71" s="131">
        <f t="shared" ref="C71:K76" si="20">IFERROR(C56/C50,"n.m.")</f>
        <v>0.24318871588718655</v>
      </c>
      <c r="D71" s="131">
        <f t="shared" si="20"/>
        <v>0.1815582372074111</v>
      </c>
      <c r="E71" s="131">
        <f t="shared" si="20"/>
        <v>0.1712377484388691</v>
      </c>
      <c r="F71" s="131">
        <f t="shared" si="20"/>
        <v>0.13772404292302107</v>
      </c>
      <c r="G71" s="131">
        <f t="shared" si="20"/>
        <v>-2.5867553426317757E-2</v>
      </c>
      <c r="H71" s="131">
        <f t="shared" si="20"/>
        <v>1.2395725363471588E-2</v>
      </c>
      <c r="I71" s="131">
        <f t="shared" si="20"/>
        <v>-3.269975829306368E-2</v>
      </c>
      <c r="J71" s="131">
        <f>IFERROR(J56/J50,"n.m.")</f>
        <v>-4.8388837323691695E-2</v>
      </c>
      <c r="K71" s="131">
        <f>IFERROR(K56/K50,"n.m.")</f>
        <v>5.1936689048603026E-2</v>
      </c>
      <c r="L71" s="131">
        <f>IFERROR(L56/L50,"n.m.")</f>
        <v>3.9068037427742994E-2</v>
      </c>
      <c r="M71" s="131">
        <f>IFERROR(M56/M50,"n.m.")</f>
        <v>4.4951407138995793E-2</v>
      </c>
    </row>
    <row r="72" spans="1:13" ht="15" customHeight="1" outlineLevel="1" x14ac:dyDescent="0.2">
      <c r="B72" s="101" t="s">
        <v>202</v>
      </c>
      <c r="C72" s="131">
        <f t="shared" si="20"/>
        <v>0.12838177582340282</v>
      </c>
      <c r="D72" s="131">
        <f t="shared" si="20"/>
        <v>0.15276379569069787</v>
      </c>
      <c r="E72" s="131">
        <f t="shared" si="20"/>
        <v>0.15011660589486475</v>
      </c>
      <c r="F72" s="131">
        <f t="shared" si="20"/>
        <v>0.13303785775944657</v>
      </c>
      <c r="G72" s="131">
        <f t="shared" si="20"/>
        <v>0.15654541017377388</v>
      </c>
      <c r="H72" s="131">
        <f t="shared" si="20"/>
        <v>0.15811957873357751</v>
      </c>
      <c r="I72" s="131">
        <f t="shared" si="20"/>
        <v>0.171170913029494</v>
      </c>
      <c r="J72" s="131">
        <f t="shared" si="20"/>
        <v>0.18925013510187108</v>
      </c>
      <c r="K72" s="131">
        <f t="shared" si="20"/>
        <v>0.25029714364067757</v>
      </c>
      <c r="L72" s="131">
        <f t="shared" ref="L72:M72" si="21">IFERROR(L57/L51,"n.m.")</f>
        <v>0.22818833942596842</v>
      </c>
      <c r="M72" s="131">
        <f t="shared" si="21"/>
        <v>0.21200246875922552</v>
      </c>
    </row>
    <row r="73" spans="1:13" ht="15" customHeight="1" outlineLevel="1" x14ac:dyDescent="0.2">
      <c r="B73" s="101" t="s">
        <v>203</v>
      </c>
      <c r="C73" s="131">
        <f t="shared" si="20"/>
        <v>-0.64940794056187601</v>
      </c>
      <c r="D73" s="131">
        <f t="shared" si="20"/>
        <v>6.860099245090602E-2</v>
      </c>
      <c r="E73" s="131">
        <f t="shared" si="20"/>
        <v>-6.7332011757468046E-3</v>
      </c>
      <c r="F73" s="131">
        <f t="shared" si="20"/>
        <v>-3.8578813505745727E-2</v>
      </c>
      <c r="G73" s="131">
        <f t="shared" si="20"/>
        <v>-0.70581426409046388</v>
      </c>
      <c r="H73" s="131">
        <f t="shared" si="20"/>
        <v>-0.10355937404111691</v>
      </c>
      <c r="I73" s="131">
        <f t="shared" si="20"/>
        <v>-8.7364511483362384E-2</v>
      </c>
      <c r="J73" s="131">
        <f t="shared" si="20"/>
        <v>-0.14009242780012862</v>
      </c>
      <c r="K73" s="131">
        <f t="shared" si="20"/>
        <v>-2.1679345758843667</v>
      </c>
      <c r="L73" s="131">
        <f t="shared" ref="L73:M73" si="22">IFERROR(L58/L52,"n.m.")</f>
        <v>-0.34760415234428715</v>
      </c>
      <c r="M73" s="131">
        <f t="shared" si="22"/>
        <v>-0.2419319469317642</v>
      </c>
    </row>
    <row r="74" spans="1:13" ht="15" customHeight="1" outlineLevel="1" x14ac:dyDescent="0.2">
      <c r="B74" s="101" t="s">
        <v>212</v>
      </c>
      <c r="C74" s="131">
        <f t="shared" si="20"/>
        <v>0.17982066297187074</v>
      </c>
      <c r="D74" s="131">
        <f t="shared" si="20"/>
        <v>0.25642617658015648</v>
      </c>
      <c r="E74" s="131">
        <f t="shared" si="20"/>
        <v>0.24321191180566534</v>
      </c>
      <c r="F74" s="131">
        <f t="shared" si="20"/>
        <v>0.27477089620054629</v>
      </c>
      <c r="G74" s="131">
        <f t="shared" si="20"/>
        <v>0.25653291812212536</v>
      </c>
      <c r="H74" s="131">
        <f t="shared" si="20"/>
        <v>0.3505600719289701</v>
      </c>
      <c r="I74" s="131">
        <f t="shared" si="20"/>
        <v>0.37377706114624409</v>
      </c>
      <c r="J74" s="131">
        <f t="shared" si="20"/>
        <v>0.36160446195737117</v>
      </c>
      <c r="K74" s="131">
        <f t="shared" si="20"/>
        <v>0.33435722989439476</v>
      </c>
      <c r="L74" s="131">
        <f t="shared" ref="L74:M74" si="23">IFERROR(L59/L53,"n.m.")</f>
        <v>0.31065800235189761</v>
      </c>
      <c r="M74" s="131">
        <f t="shared" si="23"/>
        <v>0.28150196996163285</v>
      </c>
    </row>
    <row r="75" spans="1:13" ht="15" customHeight="1" outlineLevel="1" x14ac:dyDescent="0.2">
      <c r="B75" s="101" t="s">
        <v>213</v>
      </c>
      <c r="C75" s="131">
        <f t="shared" si="20"/>
        <v>-2.625733808103166</v>
      </c>
      <c r="D75" s="131">
        <f t="shared" si="20"/>
        <v>-2.4810175185985122</v>
      </c>
      <c r="E75" s="131">
        <f t="shared" si="20"/>
        <v>-2.1335403726708071</v>
      </c>
      <c r="F75" s="131">
        <f t="shared" si="20"/>
        <v>-1.9764597549170071</v>
      </c>
      <c r="G75" s="131">
        <f t="shared" si="20"/>
        <v>-1.9128137384412152</v>
      </c>
      <c r="H75" s="131">
        <f t="shared" si="20"/>
        <v>-1.943401058562404</v>
      </c>
      <c r="I75" s="131">
        <f t="shared" si="20"/>
        <v>-1.6221382591659672</v>
      </c>
      <c r="J75" s="131">
        <f t="shared" si="20"/>
        <v>-1.6967374874034264</v>
      </c>
      <c r="K75" s="131">
        <f t="shared" si="20"/>
        <v>-0.99642576933135729</v>
      </c>
      <c r="L75" s="131">
        <f t="shared" ref="L75:M75" si="24">IFERROR(L60/L54,"n.m.")</f>
        <v>-3.8101405112578295</v>
      </c>
      <c r="M75" s="131">
        <f t="shared" si="24"/>
        <v>-1.4290200270590789</v>
      </c>
    </row>
    <row r="76" spans="1:13" ht="15" customHeight="1" outlineLevel="1" x14ac:dyDescent="0.2">
      <c r="B76" s="49" t="s">
        <v>233</v>
      </c>
      <c r="C76" s="132">
        <f t="shared" si="20"/>
        <v>0.20548022246646194</v>
      </c>
      <c r="D76" s="132">
        <f t="shared" si="20"/>
        <v>0.16823713986821148</v>
      </c>
      <c r="E76" s="132">
        <f t="shared" si="20"/>
        <v>0.15926533275086827</v>
      </c>
      <c r="F76" s="132">
        <f t="shared" si="20"/>
        <v>0.13154841004333662</v>
      </c>
      <c r="G76" s="132">
        <f t="shared" si="20"/>
        <v>4.0915438426970756E-2</v>
      </c>
      <c r="H76" s="132">
        <f t="shared" si="20"/>
        <v>6.141772676915689E-2</v>
      </c>
      <c r="I76" s="132">
        <f t="shared" si="20"/>
        <v>4.5003169489590371E-2</v>
      </c>
      <c r="J76" s="132">
        <f t="shared" si="20"/>
        <v>3.9110540786829726E-2</v>
      </c>
      <c r="K76" s="132">
        <f t="shared" si="20"/>
        <v>0.13616029795881435</v>
      </c>
      <c r="L76" s="132">
        <f t="shared" ref="L76:M76" si="25">IFERROR(L61/L55,"n.m.")</f>
        <v>0.11137200328449262</v>
      </c>
      <c r="M76" s="132">
        <f t="shared" si="25"/>
        <v>0.11039696983335608</v>
      </c>
    </row>
    <row r="77" spans="1:13" ht="15" customHeight="1" outlineLevel="1" x14ac:dyDescent="0.2">
      <c r="B77" s="48" t="s">
        <v>201</v>
      </c>
      <c r="C77" s="131">
        <f t="shared" ref="C77:K82" si="26">IFERROR(C62/C50,"n.m.")</f>
        <v>0.19052346741408055</v>
      </c>
      <c r="D77" s="131">
        <f t="shared" si="26"/>
        <v>0.14446191663652519</v>
      </c>
      <c r="E77" s="131">
        <f t="shared" si="26"/>
        <v>0.12979468481353224</v>
      </c>
      <c r="F77" s="131">
        <f t="shared" si="26"/>
        <v>9.401125056388511E-2</v>
      </c>
      <c r="G77" s="131">
        <f t="shared" si="26"/>
        <v>-5.0548881170961422E-2</v>
      </c>
      <c r="H77" s="131">
        <f t="shared" si="26"/>
        <v>-2.9859821631478885E-2</v>
      </c>
      <c r="I77" s="131">
        <f t="shared" si="26"/>
        <v>-7.4743237061281942E-2</v>
      </c>
      <c r="J77" s="131">
        <f>IFERROR(J62/J50,"n.m.")</f>
        <v>-9.3795475685074958E-2</v>
      </c>
      <c r="K77" s="131">
        <f t="shared" si="26"/>
        <v>5.5685150260645268E-3</v>
      </c>
      <c r="L77" s="131">
        <f t="shared" ref="L77:M77" si="27">IFERROR(L62/L50,"n.m.")</f>
        <v>-1.2640267993733112E-2</v>
      </c>
      <c r="M77" s="131">
        <f t="shared" si="27"/>
        <v>-2.2021671760342125E-3</v>
      </c>
    </row>
    <row r="78" spans="1:13" ht="15" customHeight="1" outlineLevel="1" x14ac:dyDescent="0.2">
      <c r="B78" s="101" t="s">
        <v>202</v>
      </c>
      <c r="C78" s="131">
        <f t="shared" si="26"/>
        <v>9.0233048116381498E-2</v>
      </c>
      <c r="D78" s="131">
        <f t="shared" si="26"/>
        <v>0.11444621959674341</v>
      </c>
      <c r="E78" s="131">
        <f t="shared" si="26"/>
        <v>0.11126747189304162</v>
      </c>
      <c r="F78" s="131">
        <f t="shared" si="26"/>
        <v>9.4016532404961634E-2</v>
      </c>
      <c r="G78" s="131">
        <f t="shared" si="26"/>
        <v>8.014610354653709E-2</v>
      </c>
      <c r="H78" s="131">
        <f t="shared" si="26"/>
        <v>7.576558456654918E-2</v>
      </c>
      <c r="I78" s="131">
        <f t="shared" si="26"/>
        <v>9.2068003888310643E-2</v>
      </c>
      <c r="J78" s="131">
        <f t="shared" si="26"/>
        <v>0.11589309860288848</v>
      </c>
      <c r="K78" s="131">
        <f t="shared" si="26"/>
        <v>0.19885781508599065</v>
      </c>
      <c r="L78" s="131">
        <f t="shared" ref="L78:M78" si="28">IFERROR(L63/L51,"n.m.")</f>
        <v>0.17327356877112499</v>
      </c>
      <c r="M78" s="131">
        <f t="shared" si="28"/>
        <v>0.18549207062720577</v>
      </c>
    </row>
    <row r="79" spans="1:13" ht="15" customHeight="1" outlineLevel="1" x14ac:dyDescent="0.2">
      <c r="B79" s="101" t="s">
        <v>203</v>
      </c>
      <c r="C79" s="131">
        <f t="shared" si="26"/>
        <v>-0.52449500812630589</v>
      </c>
      <c r="D79" s="131">
        <f t="shared" si="26"/>
        <v>-3.3877647468503989E-2</v>
      </c>
      <c r="E79" s="131">
        <f t="shared" si="26"/>
        <v>-7.1768405222503259E-2</v>
      </c>
      <c r="F79" s="131">
        <f t="shared" si="26"/>
        <v>-9.44361501913622E-2</v>
      </c>
      <c r="G79" s="131">
        <f t="shared" si="26"/>
        <v>-1.3249042827887099</v>
      </c>
      <c r="H79" s="131">
        <f t="shared" si="26"/>
        <v>-0.31867307626743036</v>
      </c>
      <c r="I79" s="131">
        <f t="shared" si="26"/>
        <v>-0.27890548017888273</v>
      </c>
      <c r="J79" s="131">
        <f t="shared" si="26"/>
        <v>-0.32983862524864277</v>
      </c>
      <c r="K79" s="131">
        <f t="shared" si="26"/>
        <v>-5.7672118676302784</v>
      </c>
      <c r="L79" s="131">
        <f t="shared" ref="L79:M79" si="29">IFERROR(L64/L52,"n.m.")</f>
        <v>-0.9124157844080848</v>
      </c>
      <c r="M79" s="131">
        <f t="shared" si="29"/>
        <v>-0.6478381638098023</v>
      </c>
    </row>
    <row r="80" spans="1:13" ht="15" customHeight="1" outlineLevel="1" x14ac:dyDescent="0.2">
      <c r="B80" s="101" t="s">
        <v>212</v>
      </c>
      <c r="C80" s="131">
        <f t="shared" si="26"/>
        <v>0.1676513646345289</v>
      </c>
      <c r="D80" s="131">
        <f t="shared" si="26"/>
        <v>0.21263109174446565</v>
      </c>
      <c r="E80" s="131">
        <f t="shared" si="26"/>
        <v>0.19083805695445002</v>
      </c>
      <c r="F80" s="131">
        <f t="shared" si="26"/>
        <v>0.21065627409265886</v>
      </c>
      <c r="G80" s="131">
        <f t="shared" si="26"/>
        <v>0.18483727886417883</v>
      </c>
      <c r="H80" s="131">
        <f t="shared" si="26"/>
        <v>0.2559472520885625</v>
      </c>
      <c r="I80" s="131">
        <f t="shared" si="26"/>
        <v>0.28983057004809321</v>
      </c>
      <c r="J80" s="131">
        <f t="shared" si="26"/>
        <v>0.27089485937101537</v>
      </c>
      <c r="K80" s="131">
        <f t="shared" si="26"/>
        <v>0.27100257243433523</v>
      </c>
      <c r="L80" s="131">
        <f t="shared" ref="L80:M80" si="30">IFERROR(L65/L53,"n.m.")</f>
        <v>0.21862068123649595</v>
      </c>
      <c r="M80" s="131">
        <f t="shared" si="30"/>
        <v>0.19356969432697493</v>
      </c>
    </row>
    <row r="81" spans="1:13" ht="15" customHeight="1" outlineLevel="1" x14ac:dyDescent="0.2">
      <c r="B81" s="101" t="s">
        <v>213</v>
      </c>
      <c r="C81" s="131">
        <f t="shared" si="26"/>
        <v>2.9998075257434316</v>
      </c>
      <c r="D81" s="131">
        <f t="shared" si="26"/>
        <v>2.2374370050395966</v>
      </c>
      <c r="E81" s="131">
        <f t="shared" si="26"/>
        <v>1.1479591836734695</v>
      </c>
      <c r="F81" s="131">
        <f t="shared" si="26"/>
        <v>0.96016811087762366</v>
      </c>
      <c r="G81" s="131">
        <f t="shared" si="26"/>
        <v>3.8932628797886393</v>
      </c>
      <c r="H81" s="131">
        <f t="shared" si="26"/>
        <v>3.3553013488133856</v>
      </c>
      <c r="I81" s="131">
        <f t="shared" si="26"/>
        <v>5.0910159529806887</v>
      </c>
      <c r="J81" s="131">
        <f t="shared" si="26"/>
        <v>1.7451503191132012</v>
      </c>
      <c r="K81" s="131">
        <f t="shared" si="26"/>
        <v>7.4670037485833838</v>
      </c>
      <c r="L81" s="131">
        <f t="shared" ref="L81:M81" si="31">IFERROR(L66/L54,"n.m.")</f>
        <v>10.182749280514644</v>
      </c>
      <c r="M81" s="131">
        <f t="shared" si="31"/>
        <v>6.2855902052815313</v>
      </c>
    </row>
    <row r="82" spans="1:13" ht="15" customHeight="1" outlineLevel="1" x14ac:dyDescent="0.25">
      <c r="A82" s="75" t="s">
        <v>79</v>
      </c>
      <c r="B82" s="49" t="s">
        <v>234</v>
      </c>
      <c r="C82" s="132">
        <f t="shared" si="26"/>
        <v>0.17022533950026572</v>
      </c>
      <c r="D82" s="132">
        <f t="shared" si="26"/>
        <v>0.14199104417916797</v>
      </c>
      <c r="E82" s="132">
        <f t="shared" si="26"/>
        <v>0.12714636824627118</v>
      </c>
      <c r="F82" s="132">
        <f t="shared" si="26"/>
        <v>9.6885893473513007E-2</v>
      </c>
      <c r="G82" s="132">
        <f t="shared" si="26"/>
        <v>1.5340807560706037E-2</v>
      </c>
      <c r="H82" s="132">
        <f t="shared" si="26"/>
        <v>2.4896718457516769E-2</v>
      </c>
      <c r="I82" s="132">
        <f t="shared" si="26"/>
        <v>1.5281382365600027E-2</v>
      </c>
      <c r="J82" s="132">
        <f t="shared" si="26"/>
        <v>-5.7458883070175487E-3</v>
      </c>
      <c r="K82" s="132">
        <f t="shared" si="26"/>
        <v>0.10799846250888054</v>
      </c>
      <c r="L82" s="132">
        <f t="shared" ref="L82:M82" si="32">IFERROR(L67/L55,"n.m.")</f>
        <v>9.7686841898893775E-2</v>
      </c>
      <c r="M82" s="132">
        <f t="shared" si="32"/>
        <v>0.10881372191749399</v>
      </c>
    </row>
    <row r="83" spans="1:13" ht="15" customHeight="1" x14ac:dyDescent="0.2">
      <c r="B83" s="103"/>
      <c r="C83" s="102"/>
      <c r="D83" s="102"/>
      <c r="E83" s="102"/>
      <c r="F83" s="102"/>
    </row>
    <row r="84" spans="1:13" ht="15" customHeight="1" x14ac:dyDescent="0.2">
      <c r="B84" s="103"/>
      <c r="C84" s="102"/>
      <c r="D84" s="102"/>
      <c r="E84" s="102"/>
      <c r="F84" s="102"/>
    </row>
    <row r="85" spans="1:13" ht="20.100000000000001" customHeight="1" outlineLevel="1" x14ac:dyDescent="0.2">
      <c r="B85" s="34" t="s">
        <v>164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outlineLevel="1" x14ac:dyDescent="0.2">
      <c r="B86" s="36" t="s">
        <v>132</v>
      </c>
      <c r="C86" s="37" t="s">
        <v>186</v>
      </c>
      <c r="D86" s="37" t="s">
        <v>189</v>
      </c>
      <c r="E86" s="37" t="s">
        <v>193</v>
      </c>
      <c r="F86" s="37" t="s">
        <v>194</v>
      </c>
      <c r="G86" s="37" t="s">
        <v>196</v>
      </c>
      <c r="H86" s="37" t="s">
        <v>220</v>
      </c>
      <c r="I86" s="37" t="s">
        <v>221</v>
      </c>
      <c r="J86" s="37" t="s">
        <v>226</v>
      </c>
      <c r="K86" s="37" t="s">
        <v>236</v>
      </c>
      <c r="L86" s="37" t="s">
        <v>237</v>
      </c>
      <c r="M86" s="37" t="s">
        <v>241</v>
      </c>
    </row>
    <row r="87" spans="1:13" ht="15" customHeight="1" outlineLevel="1" x14ac:dyDescent="0.2">
      <c r="B87" s="48" t="s">
        <v>201</v>
      </c>
      <c r="C87" s="43">
        <f>C50</f>
        <v>3324.8870000000002</v>
      </c>
      <c r="D87" s="43">
        <f t="shared" ref="D87:F91" si="33">D50-C50</f>
        <v>2641.4189999999994</v>
      </c>
      <c r="E87" s="43">
        <f t="shared" si="33"/>
        <v>2254.1770000000006</v>
      </c>
      <c r="F87" s="43">
        <f t="shared" si="33"/>
        <v>2318.0110000000004</v>
      </c>
      <c r="G87" s="43">
        <f>G50</f>
        <v>1787.181</v>
      </c>
      <c r="H87" s="43">
        <f t="shared" ref="H87:M91" si="34">H50-G50</f>
        <v>1821.0790000000002</v>
      </c>
      <c r="I87" s="43">
        <f t="shared" si="34"/>
        <v>1447.8629999999994</v>
      </c>
      <c r="J87" s="43">
        <f t="shared" si="34"/>
        <v>2051.384</v>
      </c>
      <c r="K87" s="43">
        <f>K50</f>
        <v>2094.9929999999999</v>
      </c>
      <c r="L87" s="43">
        <f t="shared" si="34"/>
        <v>1914.6530000000002</v>
      </c>
      <c r="M87" s="43">
        <f>M50-L50</f>
        <v>1969.0099999999998</v>
      </c>
    </row>
    <row r="88" spans="1:13" ht="15" customHeight="1" outlineLevel="1" x14ac:dyDescent="0.2">
      <c r="B88" s="101" t="s">
        <v>202</v>
      </c>
      <c r="C88" s="3">
        <f>C51</f>
        <v>1171.3889999999999</v>
      </c>
      <c r="D88" s="3">
        <f t="shared" si="33"/>
        <v>889.78</v>
      </c>
      <c r="E88" s="3">
        <f t="shared" si="33"/>
        <v>571.63100000000031</v>
      </c>
      <c r="F88" s="3">
        <f t="shared" si="33"/>
        <v>806.62699999999995</v>
      </c>
      <c r="G88" s="3">
        <f>G51</f>
        <v>1114.5519999999999</v>
      </c>
      <c r="H88" s="3">
        <f t="shared" si="34"/>
        <v>661.90100000000007</v>
      </c>
      <c r="I88" s="3">
        <f t="shared" si="34"/>
        <v>1015.5050000000001</v>
      </c>
      <c r="J88" s="3">
        <f t="shared" si="34"/>
        <v>1095.8489999999997</v>
      </c>
      <c r="K88" s="3">
        <f>K51</f>
        <v>1560.693</v>
      </c>
      <c r="L88" s="3">
        <f t="shared" si="34"/>
        <v>1523.6319999999998</v>
      </c>
      <c r="M88" s="3">
        <f t="shared" si="34"/>
        <v>1400.5190000000002</v>
      </c>
    </row>
    <row r="89" spans="1:13" ht="15" customHeight="1" outlineLevel="1" x14ac:dyDescent="0.2">
      <c r="B89" s="101" t="s">
        <v>203</v>
      </c>
      <c r="C89" s="102">
        <f>C52</f>
        <v>4.3070000000000004</v>
      </c>
      <c r="D89" s="102">
        <f t="shared" si="33"/>
        <v>76.099999999999994</v>
      </c>
      <c r="E89" s="102">
        <f t="shared" si="33"/>
        <v>65.882999999999996</v>
      </c>
      <c r="F89" s="102">
        <f t="shared" si="33"/>
        <v>59.341000000000008</v>
      </c>
      <c r="G89" s="102">
        <f>G52</f>
        <v>11.231</v>
      </c>
      <c r="H89" s="102">
        <f t="shared" si="34"/>
        <v>47.430999999999997</v>
      </c>
      <c r="I89" s="102">
        <f t="shared" si="34"/>
        <v>73.268000000000001</v>
      </c>
      <c r="J89" s="102">
        <f t="shared" si="34"/>
        <v>68.658999999999992</v>
      </c>
      <c r="K89" s="102">
        <f>K52</f>
        <v>5.258</v>
      </c>
      <c r="L89" s="102">
        <f t="shared" si="34"/>
        <v>52.925999999999995</v>
      </c>
      <c r="M89" s="102">
        <f t="shared" si="34"/>
        <v>51.260000000000005</v>
      </c>
    </row>
    <row r="90" spans="1:13" ht="15" customHeight="1" outlineLevel="1" x14ac:dyDescent="0.2">
      <c r="B90" s="101" t="s">
        <v>212</v>
      </c>
      <c r="C90" s="102">
        <f>C53</f>
        <v>76.504000000000005</v>
      </c>
      <c r="D90" s="102">
        <f t="shared" si="33"/>
        <v>100.66199999999999</v>
      </c>
      <c r="E90" s="102">
        <f t="shared" si="33"/>
        <v>88.519999999999982</v>
      </c>
      <c r="F90" s="102">
        <f t="shared" si="33"/>
        <v>111.76300000000003</v>
      </c>
      <c r="G90" s="102">
        <f>G53</f>
        <v>97.620999999999995</v>
      </c>
      <c r="H90" s="102">
        <f t="shared" si="34"/>
        <v>115.92300000000002</v>
      </c>
      <c r="I90" s="102">
        <f t="shared" si="34"/>
        <v>144.30299999999997</v>
      </c>
      <c r="J90" s="102">
        <f t="shared" si="34"/>
        <v>128.39700000000005</v>
      </c>
      <c r="K90" s="102">
        <f>K53</f>
        <v>118.176</v>
      </c>
      <c r="L90" s="102">
        <f t="shared" si="34"/>
        <v>127.58299999999998</v>
      </c>
      <c r="M90" s="102">
        <f t="shared" si="34"/>
        <v>141.81200000000004</v>
      </c>
    </row>
    <row r="91" spans="1:13" ht="15" customHeight="1" outlineLevel="1" x14ac:dyDescent="0.2">
      <c r="B91" s="101" t="s">
        <v>213</v>
      </c>
      <c r="C91" s="102">
        <f>C54</f>
        <v>10.391</v>
      </c>
      <c r="D91" s="102">
        <f t="shared" si="33"/>
        <v>10.444000000000001</v>
      </c>
      <c r="E91" s="102">
        <f t="shared" si="33"/>
        <v>10.721</v>
      </c>
      <c r="F91" s="102">
        <f t="shared" si="33"/>
        <v>10.797000000000001</v>
      </c>
      <c r="G91" s="102">
        <f>G54</f>
        <v>11.355</v>
      </c>
      <c r="H91" s="102">
        <f t="shared" si="34"/>
        <v>12.073</v>
      </c>
      <c r="I91" s="102">
        <f t="shared" si="34"/>
        <v>12.301999999999996</v>
      </c>
      <c r="J91" s="102">
        <f t="shared" si="34"/>
        <v>11.902000000000001</v>
      </c>
      <c r="K91" s="102">
        <f>K54</f>
        <v>11.471</v>
      </c>
      <c r="L91" s="102">
        <f t="shared" si="34"/>
        <v>12.157</v>
      </c>
      <c r="M91" s="102">
        <f t="shared" si="34"/>
        <v>36.241</v>
      </c>
    </row>
    <row r="92" spans="1:13" ht="15" customHeight="1" outlineLevel="1" x14ac:dyDescent="0.2">
      <c r="B92" s="49" t="s">
        <v>133</v>
      </c>
      <c r="C92" s="50">
        <f>+C55</f>
        <v>4587.4780000000001</v>
      </c>
      <c r="D92" s="50">
        <f>+D55-C55</f>
        <v>3718.4049999999997</v>
      </c>
      <c r="E92" s="50">
        <f>+E55-D55</f>
        <v>2990.9320000000007</v>
      </c>
      <c r="F92" s="50">
        <f>+F55-E55</f>
        <v>3306.5389999999989</v>
      </c>
      <c r="G92" s="50">
        <f>+G55</f>
        <v>3021.94</v>
      </c>
      <c r="H92" s="50">
        <f>+H55-G55</f>
        <v>2658.4069999999997</v>
      </c>
      <c r="I92" s="50">
        <f>+I55-H55</f>
        <v>2693.241</v>
      </c>
      <c r="J92" s="50">
        <f>+J55-I55</f>
        <v>3356.1910000000007</v>
      </c>
      <c r="K92" s="50">
        <f>+K55</f>
        <v>3790.5909999999999</v>
      </c>
      <c r="L92" s="50">
        <f>+L55-K55</f>
        <v>3630.9510000000005</v>
      </c>
      <c r="M92" s="50">
        <f>+M55-L55</f>
        <v>3598.8419999999996</v>
      </c>
    </row>
    <row r="93" spans="1:13" ht="15" customHeight="1" outlineLevel="1" x14ac:dyDescent="0.2">
      <c r="B93" s="48" t="s">
        <v>201</v>
      </c>
      <c r="C93" s="43">
        <f>C56</f>
        <v>808.57500000000005</v>
      </c>
      <c r="D93" s="43">
        <f t="shared" ref="D93:F97" si="35">D56-C56</f>
        <v>274.65699999999993</v>
      </c>
      <c r="E93" s="43">
        <f t="shared" si="35"/>
        <v>324.42499999999995</v>
      </c>
      <c r="F93" s="43">
        <f t="shared" si="35"/>
        <v>43.747000000000071</v>
      </c>
      <c r="G93" s="43">
        <f>G56</f>
        <v>-46.23</v>
      </c>
      <c r="H93" s="43">
        <f t="shared" ref="H93:M97" si="36">H56-G56</f>
        <v>90.956999999999994</v>
      </c>
      <c r="I93" s="43">
        <f t="shared" si="36"/>
        <v>-210.06100000000001</v>
      </c>
      <c r="J93" s="43">
        <f t="shared" si="36"/>
        <v>-178.58999999999997</v>
      </c>
      <c r="K93" s="43">
        <f>K56</f>
        <v>108.807</v>
      </c>
      <c r="L93" s="43">
        <f t="shared" si="36"/>
        <v>47.841999999999999</v>
      </c>
      <c r="M93" s="43">
        <f t="shared" si="36"/>
        <v>112.10000000000002</v>
      </c>
    </row>
    <row r="94" spans="1:13" ht="15" customHeight="1" outlineLevel="1" x14ac:dyDescent="0.2">
      <c r="B94" s="101" t="s">
        <v>202</v>
      </c>
      <c r="C94" s="3">
        <f>C57</f>
        <v>150.38499999999999</v>
      </c>
      <c r="D94" s="3">
        <f t="shared" si="35"/>
        <v>164.48700000000002</v>
      </c>
      <c r="E94" s="3">
        <f t="shared" si="35"/>
        <v>80.354999999999961</v>
      </c>
      <c r="F94" s="3">
        <f t="shared" si="35"/>
        <v>62.347000000000037</v>
      </c>
      <c r="G94" s="3">
        <f>G57</f>
        <v>174.47800000000001</v>
      </c>
      <c r="H94" s="3">
        <f t="shared" si="36"/>
        <v>106.41399999999999</v>
      </c>
      <c r="I94" s="3">
        <f t="shared" si="36"/>
        <v>197.01</v>
      </c>
      <c r="J94" s="3">
        <f t="shared" si="36"/>
        <v>257.86600000000004</v>
      </c>
      <c r="K94" s="3">
        <f>K57</f>
        <v>390.637</v>
      </c>
      <c r="L94" s="3">
        <f t="shared" si="36"/>
        <v>313.17</v>
      </c>
      <c r="M94" s="3">
        <f t="shared" si="36"/>
        <v>246.99099999999999</v>
      </c>
    </row>
    <row r="95" spans="1:13" ht="15" customHeight="1" outlineLevel="1" x14ac:dyDescent="0.2">
      <c r="B95" s="101" t="s">
        <v>203</v>
      </c>
      <c r="C95" s="102">
        <f>C58</f>
        <v>-2.7970000000000002</v>
      </c>
      <c r="D95" s="102">
        <f t="shared" si="35"/>
        <v>8.3130000000000006</v>
      </c>
      <c r="E95" s="102">
        <f t="shared" si="35"/>
        <v>-6.5010000000000003</v>
      </c>
      <c r="F95" s="102">
        <f t="shared" si="35"/>
        <v>-6.9479999999999995</v>
      </c>
      <c r="G95" s="102">
        <f>G58</f>
        <v>-7.9269999999999996</v>
      </c>
      <c r="H95" s="102">
        <f t="shared" si="36"/>
        <v>1.8519999999999994</v>
      </c>
      <c r="I95" s="102">
        <f t="shared" si="36"/>
        <v>-5.4509999999999996</v>
      </c>
      <c r="J95" s="102">
        <f t="shared" si="36"/>
        <v>-16.574999999999999</v>
      </c>
      <c r="K95" s="102">
        <f>K58</f>
        <v>-11.398999999999999</v>
      </c>
      <c r="L95" s="102">
        <f t="shared" si="36"/>
        <v>-8.8260000000000023</v>
      </c>
      <c r="M95" s="102">
        <f t="shared" si="36"/>
        <v>-6.2530000000000001</v>
      </c>
    </row>
    <row r="96" spans="1:13" ht="15" customHeight="1" outlineLevel="1" x14ac:dyDescent="0.2">
      <c r="B96" s="101" t="s">
        <v>212</v>
      </c>
      <c r="C96" s="102">
        <f>C59</f>
        <v>13.757</v>
      </c>
      <c r="D96" s="102">
        <f t="shared" si="35"/>
        <v>31.673000000000002</v>
      </c>
      <c r="E96" s="102">
        <f t="shared" si="35"/>
        <v>19.187999999999995</v>
      </c>
      <c r="F96" s="102">
        <f t="shared" si="35"/>
        <v>39.094000000000008</v>
      </c>
      <c r="G96" s="102">
        <f>G59</f>
        <v>25.042999999999999</v>
      </c>
      <c r="H96" s="102">
        <f t="shared" si="36"/>
        <v>49.817</v>
      </c>
      <c r="I96" s="102">
        <f t="shared" si="36"/>
        <v>58.894999999999996</v>
      </c>
      <c r="J96" s="102">
        <f t="shared" si="36"/>
        <v>42.073000000000008</v>
      </c>
      <c r="K96" s="102">
        <f>K59</f>
        <v>39.512999999999998</v>
      </c>
      <c r="L96" s="102">
        <f t="shared" si="36"/>
        <v>36.833999999999996</v>
      </c>
      <c r="M96" s="102">
        <f t="shared" si="36"/>
        <v>32.75500000000001</v>
      </c>
    </row>
    <row r="97" spans="1:13" ht="15" customHeight="1" outlineLevel="1" x14ac:dyDescent="0.2">
      <c r="B97" s="101" t="s">
        <v>213</v>
      </c>
      <c r="C97" s="102">
        <f>C60</f>
        <v>-27.283999999999999</v>
      </c>
      <c r="D97" s="102">
        <f t="shared" si="35"/>
        <v>-24.408000000000001</v>
      </c>
      <c r="E97" s="102">
        <f t="shared" si="35"/>
        <v>-15.633999999999993</v>
      </c>
      <c r="F97" s="102">
        <f t="shared" si="35"/>
        <v>-16.38300000000001</v>
      </c>
      <c r="G97" s="102">
        <f>G60</f>
        <v>-21.72</v>
      </c>
      <c r="H97" s="102">
        <f t="shared" si="36"/>
        <v>-23.810000000000002</v>
      </c>
      <c r="I97" s="102">
        <f t="shared" si="36"/>
        <v>-12.429000000000002</v>
      </c>
      <c r="J97" s="102">
        <f t="shared" si="36"/>
        <v>-22.86</v>
      </c>
      <c r="K97" s="102">
        <f>K60</f>
        <v>-11.43</v>
      </c>
      <c r="L97" s="102">
        <f t="shared" si="36"/>
        <v>-78.596000000000004</v>
      </c>
      <c r="M97" s="102">
        <f t="shared" si="36"/>
        <v>4.4719999999999942</v>
      </c>
    </row>
    <row r="98" spans="1:13" ht="15" customHeight="1" outlineLevel="1" x14ac:dyDescent="0.2">
      <c r="B98" s="49" t="s">
        <v>134</v>
      </c>
      <c r="C98" s="50">
        <f>+C61</f>
        <v>942.63599999999997</v>
      </c>
      <c r="D98" s="50">
        <f>+D61-C61</f>
        <v>454.72199999999998</v>
      </c>
      <c r="E98" s="50">
        <f>+E61-D61</f>
        <v>401.83300000000008</v>
      </c>
      <c r="F98" s="50">
        <f>+F61-E61</f>
        <v>121.85699999999997</v>
      </c>
      <c r="G98" s="50">
        <f>+G61</f>
        <v>123.64400000000001</v>
      </c>
      <c r="H98" s="50">
        <f>+H61-G61</f>
        <v>225.23000000000002</v>
      </c>
      <c r="I98" s="50">
        <f>+I61-H61</f>
        <v>27.963999999999999</v>
      </c>
      <c r="J98" s="50">
        <f>+J61-I61</f>
        <v>81.919999999998765</v>
      </c>
      <c r="K98" s="50">
        <f>+K61</f>
        <v>516.12800000000004</v>
      </c>
      <c r="L98" s="50">
        <f>+L61-K61</f>
        <v>310.42399999999998</v>
      </c>
      <c r="M98" s="50">
        <f>+M61-L61</f>
        <v>390.06499999999994</v>
      </c>
    </row>
    <row r="99" spans="1:13" ht="15" customHeight="1" outlineLevel="1" x14ac:dyDescent="0.2">
      <c r="B99" s="48" t="s">
        <v>201</v>
      </c>
      <c r="C99" s="43">
        <f>C62</f>
        <v>633.46900000000005</v>
      </c>
      <c r="D99" s="43">
        <f t="shared" ref="D99:F103" si="37">D62-C62</f>
        <v>228.43499999999995</v>
      </c>
      <c r="E99" s="43">
        <f t="shared" si="37"/>
        <v>205.07099999999991</v>
      </c>
      <c r="F99" s="43">
        <f t="shared" si="37"/>
        <v>-76.237999999999943</v>
      </c>
      <c r="G99" s="43">
        <f>G62</f>
        <v>-90.34</v>
      </c>
      <c r="H99" s="43">
        <f t="shared" ref="H99:M103" si="38">H62-G62</f>
        <v>-17.402000000000001</v>
      </c>
      <c r="I99" s="43">
        <f t="shared" si="38"/>
        <v>-270.16899999999998</v>
      </c>
      <c r="J99" s="43">
        <f t="shared" si="38"/>
        <v>-288.74100000000004</v>
      </c>
      <c r="K99" s="43">
        <f>K62</f>
        <v>11.666</v>
      </c>
      <c r="L99" s="43">
        <f t="shared" si="38"/>
        <v>-62.349000000000004</v>
      </c>
      <c r="M99" s="43">
        <f t="shared" si="38"/>
        <v>37.516999999999996</v>
      </c>
    </row>
    <row r="100" spans="1:13" ht="15" customHeight="1" outlineLevel="1" x14ac:dyDescent="0.2">
      <c r="B100" s="101" t="s">
        <v>202</v>
      </c>
      <c r="C100" s="3">
        <f>C63</f>
        <v>105.69799999999999</v>
      </c>
      <c r="D100" s="3">
        <f t="shared" si="37"/>
        <v>130.19499999999999</v>
      </c>
      <c r="E100" s="3">
        <f t="shared" si="37"/>
        <v>57.051999999999992</v>
      </c>
      <c r="F100" s="3">
        <f t="shared" si="37"/>
        <v>30.418000000000006</v>
      </c>
      <c r="G100" s="3">
        <f>G63</f>
        <v>89.326999999999998</v>
      </c>
      <c r="H100" s="3">
        <f t="shared" si="38"/>
        <v>45.266999999999996</v>
      </c>
      <c r="I100" s="3">
        <f t="shared" si="38"/>
        <v>122.45600000000002</v>
      </c>
      <c r="J100" s="3">
        <f t="shared" si="38"/>
        <v>193.51999999999998</v>
      </c>
      <c r="K100" s="3">
        <f>K63</f>
        <v>310.35599999999999</v>
      </c>
      <c r="L100" s="3">
        <f t="shared" si="38"/>
        <v>224.07600000000002</v>
      </c>
      <c r="M100" s="3">
        <f t="shared" si="38"/>
        <v>297.471</v>
      </c>
    </row>
    <row r="101" spans="1:13" ht="15" customHeight="1" outlineLevel="1" x14ac:dyDescent="0.2">
      <c r="B101" s="101" t="s">
        <v>203</v>
      </c>
      <c r="C101" s="102">
        <f>C64</f>
        <v>-2.2589999999999999</v>
      </c>
      <c r="D101" s="102">
        <f t="shared" si="37"/>
        <v>-0.4650000000000003</v>
      </c>
      <c r="E101" s="102">
        <f t="shared" si="37"/>
        <v>-7.7750000000000004</v>
      </c>
      <c r="F101" s="102">
        <f t="shared" si="37"/>
        <v>-8.92</v>
      </c>
      <c r="G101" s="102">
        <f>G64</f>
        <v>-14.88</v>
      </c>
      <c r="H101" s="102">
        <f t="shared" si="38"/>
        <v>-3.8139999999999983</v>
      </c>
      <c r="I101" s="102">
        <f t="shared" si="38"/>
        <v>-18.102</v>
      </c>
      <c r="J101" s="102">
        <f t="shared" si="38"/>
        <v>-29.366000000000007</v>
      </c>
      <c r="K101" s="102">
        <f>K64</f>
        <v>-30.324000000000002</v>
      </c>
      <c r="L101" s="102">
        <f t="shared" si="38"/>
        <v>-22.763999999999999</v>
      </c>
      <c r="M101" s="102">
        <f t="shared" si="38"/>
        <v>-17.814</v>
      </c>
    </row>
    <row r="102" spans="1:13" ht="15" customHeight="1" outlineLevel="1" x14ac:dyDescent="0.2">
      <c r="B102" s="101" t="s">
        <v>212</v>
      </c>
      <c r="C102" s="102">
        <f>C65</f>
        <v>12.826000000000001</v>
      </c>
      <c r="D102" s="102">
        <f t="shared" si="37"/>
        <v>24.844999999999999</v>
      </c>
      <c r="E102" s="102">
        <f t="shared" si="37"/>
        <v>13.032000000000004</v>
      </c>
      <c r="F102" s="102">
        <f t="shared" si="37"/>
        <v>28.808999999999997</v>
      </c>
      <c r="G102" s="102">
        <f>G65</f>
        <v>18.044</v>
      </c>
      <c r="H102" s="102">
        <f t="shared" si="38"/>
        <v>36.611999999999995</v>
      </c>
      <c r="I102" s="102">
        <f t="shared" si="38"/>
        <v>49.059000000000005</v>
      </c>
      <c r="J102" s="102">
        <f t="shared" si="38"/>
        <v>28.006</v>
      </c>
      <c r="K102" s="102">
        <f>K65</f>
        <v>32.026000000000003</v>
      </c>
      <c r="L102" s="102">
        <f t="shared" si="38"/>
        <v>21.701999999999998</v>
      </c>
      <c r="M102" s="102">
        <f t="shared" si="38"/>
        <v>21.294000000000004</v>
      </c>
    </row>
    <row r="103" spans="1:13" ht="15" customHeight="1" outlineLevel="1" x14ac:dyDescent="0.2">
      <c r="B103" s="101" t="s">
        <v>213</v>
      </c>
      <c r="C103" s="102">
        <f>C66</f>
        <v>31.170999999999999</v>
      </c>
      <c r="D103" s="102">
        <f t="shared" si="37"/>
        <v>15.445999999999998</v>
      </c>
      <c r="E103" s="102">
        <f t="shared" si="37"/>
        <v>-10.391999999999996</v>
      </c>
      <c r="F103" s="102">
        <f t="shared" si="37"/>
        <v>4.4409999999999954</v>
      </c>
      <c r="G103" s="102">
        <f>G66</f>
        <v>44.207999999999998</v>
      </c>
      <c r="H103" s="102">
        <f t="shared" si="38"/>
        <v>34.400000000000006</v>
      </c>
      <c r="I103" s="102">
        <f t="shared" si="38"/>
        <v>103.29399999999998</v>
      </c>
      <c r="J103" s="102">
        <f t="shared" si="38"/>
        <v>-98.776999999999987</v>
      </c>
      <c r="K103" s="102">
        <f>K66</f>
        <v>85.653999999999996</v>
      </c>
      <c r="L103" s="102">
        <f t="shared" si="38"/>
        <v>154.94400000000002</v>
      </c>
      <c r="M103" s="102">
        <f t="shared" si="38"/>
        <v>135.714</v>
      </c>
    </row>
    <row r="104" spans="1:13" ht="15" customHeight="1" outlineLevel="1" x14ac:dyDescent="0.25">
      <c r="A104" s="75" t="s">
        <v>79</v>
      </c>
      <c r="B104" s="49" t="s">
        <v>135</v>
      </c>
      <c r="C104" s="50">
        <f>+C67</f>
        <v>780.90499999999997</v>
      </c>
      <c r="D104" s="50">
        <f>+D67-C67</f>
        <v>398.45600000000013</v>
      </c>
      <c r="E104" s="50">
        <f>+E67-D67</f>
        <v>256.98799999999983</v>
      </c>
      <c r="F104" s="50">
        <f>+F67-E67</f>
        <v>-21.490000000000009</v>
      </c>
      <c r="G104" s="50">
        <f>+G67</f>
        <v>46.359000000000002</v>
      </c>
      <c r="H104" s="50">
        <f>+H67-G67</f>
        <v>95.062999999999988</v>
      </c>
      <c r="I104" s="50">
        <f>+I67-H67</f>
        <v>-13.462000000000003</v>
      </c>
      <c r="J104" s="50">
        <f>+J67-I67</f>
        <v>-195.358</v>
      </c>
      <c r="K104" s="50">
        <f>+K67</f>
        <v>409.37799999999999</v>
      </c>
      <c r="L104" s="50">
        <f>+L67-K67</f>
        <v>315.60899999999998</v>
      </c>
      <c r="M104" s="50">
        <f>+M67-L67</f>
        <v>474.18200000000013</v>
      </c>
    </row>
    <row r="105" spans="1:13" x14ac:dyDescent="0.2">
      <c r="F105" s="92"/>
    </row>
    <row r="106" spans="1:13" x14ac:dyDescent="0.2">
      <c r="F106" s="92"/>
    </row>
    <row r="107" spans="1:13" ht="20.100000000000001" customHeight="1" outlineLevel="1" x14ac:dyDescent="0.2">
      <c r="B107" s="34" t="s">
        <v>231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5" customHeight="1" outlineLevel="1" x14ac:dyDescent="0.2">
      <c r="B108" s="48" t="s">
        <v>201</v>
      </c>
      <c r="C108" s="131">
        <f t="shared" ref="C108:K113" si="39">IFERROR(C93/C87,"n.m.")</f>
        <v>0.24318871588718655</v>
      </c>
      <c r="D108" s="131">
        <f t="shared" si="39"/>
        <v>0.10398085271590762</v>
      </c>
      <c r="E108" s="131">
        <f t="shared" si="39"/>
        <v>0.14392170623691036</v>
      </c>
      <c r="F108" s="131">
        <f t="shared" si="39"/>
        <v>1.8872645556902042E-2</v>
      </c>
      <c r="G108" s="131">
        <f t="shared" si="39"/>
        <v>-2.5867553426317757E-2</v>
      </c>
      <c r="H108" s="131">
        <f t="shared" si="39"/>
        <v>4.9946762331562762E-2</v>
      </c>
      <c r="I108" s="131">
        <f t="shared" si="39"/>
        <v>-0.14508347820201228</v>
      </c>
      <c r="J108" s="131">
        <f>IFERROR(J93/J87,"n.m.")</f>
        <v>-8.7058298202579321E-2</v>
      </c>
      <c r="K108" s="131">
        <f>IFERROR(K93/K87,"n.m.")</f>
        <v>5.1936689048603026E-2</v>
      </c>
      <c r="L108" s="131">
        <f>IFERROR(L93/L87,"n.m.")</f>
        <v>2.4987295348034341E-2</v>
      </c>
      <c r="M108" s="131">
        <f>IFERROR(M93/M87,"n.m.")</f>
        <v>5.6932163879309924E-2</v>
      </c>
    </row>
    <row r="109" spans="1:13" ht="15" customHeight="1" outlineLevel="1" x14ac:dyDescent="0.2">
      <c r="B109" s="101" t="s">
        <v>202</v>
      </c>
      <c r="C109" s="131">
        <f t="shared" si="39"/>
        <v>0.12838177582340282</v>
      </c>
      <c r="D109" s="131">
        <f t="shared" si="39"/>
        <v>0.18486255029333096</v>
      </c>
      <c r="E109" s="131">
        <f t="shared" si="39"/>
        <v>0.14057145256292944</v>
      </c>
      <c r="F109" s="131">
        <f t="shared" si="39"/>
        <v>7.7293470216097448E-2</v>
      </c>
      <c r="G109" s="131">
        <f t="shared" si="39"/>
        <v>0.15654541017377388</v>
      </c>
      <c r="H109" s="131">
        <f t="shared" si="39"/>
        <v>0.16077026624827576</v>
      </c>
      <c r="I109" s="131">
        <f t="shared" si="39"/>
        <v>0.19400199900542092</v>
      </c>
      <c r="J109" s="131">
        <f t="shared" si="39"/>
        <v>0.23531161683772137</v>
      </c>
      <c r="K109" s="131">
        <f t="shared" si="39"/>
        <v>0.25029714364067757</v>
      </c>
      <c r="L109" s="131">
        <f t="shared" ref="L109:M109" si="40">IFERROR(L94/L88,"n.m.")</f>
        <v>0.20554175811482042</v>
      </c>
      <c r="M109" s="131">
        <f t="shared" si="40"/>
        <v>0.17635676488501759</v>
      </c>
    </row>
    <row r="110" spans="1:13" ht="15" customHeight="1" outlineLevel="1" x14ac:dyDescent="0.2">
      <c r="B110" s="101" t="s">
        <v>203</v>
      </c>
      <c r="C110" s="131">
        <f t="shared" si="39"/>
        <v>-0.64940794056187601</v>
      </c>
      <c r="D110" s="131">
        <f t="shared" si="39"/>
        <v>0.1092378449408673</v>
      </c>
      <c r="E110" s="131">
        <f t="shared" si="39"/>
        <v>-9.8674923728427677E-2</v>
      </c>
      <c r="F110" s="131">
        <f t="shared" si="39"/>
        <v>-0.11708599450632781</v>
      </c>
      <c r="G110" s="131">
        <f t="shared" si="39"/>
        <v>-0.70581426409046388</v>
      </c>
      <c r="H110" s="131">
        <f t="shared" si="39"/>
        <v>3.9046193417806907E-2</v>
      </c>
      <c r="I110" s="131">
        <f t="shared" si="39"/>
        <v>-7.4398100125566413E-2</v>
      </c>
      <c r="J110" s="131">
        <f t="shared" si="39"/>
        <v>-0.24141044873942238</v>
      </c>
      <c r="K110" s="131">
        <f t="shared" si="39"/>
        <v>-2.1679345758843667</v>
      </c>
      <c r="L110" s="131">
        <f t="shared" ref="L110:M110" si="41">IFERROR(L95/L89,"n.m.")</f>
        <v>-0.16676113819294872</v>
      </c>
      <c r="M110" s="131">
        <f t="shared" si="41"/>
        <v>-0.12198595396020288</v>
      </c>
    </row>
    <row r="111" spans="1:13" ht="15" customHeight="1" outlineLevel="1" x14ac:dyDescent="0.2">
      <c r="B111" s="101" t="s">
        <v>212</v>
      </c>
      <c r="C111" s="131">
        <f t="shared" si="39"/>
        <v>0.17982066297187074</v>
      </c>
      <c r="D111" s="131">
        <f t="shared" si="39"/>
        <v>0.31464703661759158</v>
      </c>
      <c r="E111" s="131">
        <f t="shared" si="39"/>
        <v>0.21676457297785809</v>
      </c>
      <c r="F111" s="131">
        <f t="shared" si="39"/>
        <v>0.34979376001002116</v>
      </c>
      <c r="G111" s="131">
        <f t="shared" si="39"/>
        <v>0.25653291812212536</v>
      </c>
      <c r="H111" s="131">
        <f t="shared" si="39"/>
        <v>0.42974215643142427</v>
      </c>
      <c r="I111" s="131">
        <f t="shared" si="39"/>
        <v>0.40813427302273692</v>
      </c>
      <c r="J111" s="131">
        <f t="shared" si="39"/>
        <v>0.32767899561516228</v>
      </c>
      <c r="K111" s="131">
        <f t="shared" si="39"/>
        <v>0.33435722989439476</v>
      </c>
      <c r="L111" s="131">
        <f t="shared" ref="L111:M111" si="42">IFERROR(L96/L90,"n.m.")</f>
        <v>0.28870617558765665</v>
      </c>
      <c r="M111" s="131">
        <f t="shared" si="42"/>
        <v>0.23097481172256226</v>
      </c>
    </row>
    <row r="112" spans="1:13" ht="15" customHeight="1" outlineLevel="1" x14ac:dyDescent="0.2">
      <c r="B112" s="101" t="s">
        <v>213</v>
      </c>
      <c r="C112" s="131">
        <f t="shared" si="39"/>
        <v>-2.625733808103166</v>
      </c>
      <c r="D112" s="131">
        <f t="shared" si="39"/>
        <v>-2.3370356185369587</v>
      </c>
      <c r="E112" s="131">
        <f t="shared" si="39"/>
        <v>-1.4582594907191486</v>
      </c>
      <c r="F112" s="131">
        <f t="shared" si="39"/>
        <v>-1.5173659349819402</v>
      </c>
      <c r="G112" s="131">
        <f t="shared" si="39"/>
        <v>-1.9128137384412152</v>
      </c>
      <c r="H112" s="131">
        <f t="shared" si="39"/>
        <v>-1.9721693034042906</v>
      </c>
      <c r="I112" s="131">
        <f t="shared" si="39"/>
        <v>-1.0103235246301419</v>
      </c>
      <c r="J112" s="131">
        <f t="shared" si="39"/>
        <v>-1.9206855990589815</v>
      </c>
      <c r="K112" s="131">
        <f t="shared" si="39"/>
        <v>-0.99642576933135729</v>
      </c>
      <c r="L112" s="131">
        <f t="shared" ref="L112:M112" si="43">IFERROR(L97/L91,"n.m.")</f>
        <v>-6.4650818458501274</v>
      </c>
      <c r="M112" s="131">
        <f t="shared" si="43"/>
        <v>0.12339615352777225</v>
      </c>
    </row>
    <row r="113" spans="1:13" ht="15" customHeight="1" outlineLevel="1" x14ac:dyDescent="0.2">
      <c r="B113" s="49" t="s">
        <v>233</v>
      </c>
      <c r="C113" s="132">
        <f t="shared" si="39"/>
        <v>0.20548022246646194</v>
      </c>
      <c r="D113" s="132">
        <f t="shared" si="39"/>
        <v>0.12228953005388063</v>
      </c>
      <c r="E113" s="132">
        <f t="shared" si="39"/>
        <v>0.13435042989944271</v>
      </c>
      <c r="F113" s="132">
        <f t="shared" si="39"/>
        <v>3.6853338188359494E-2</v>
      </c>
      <c r="G113" s="132">
        <f t="shared" si="39"/>
        <v>4.0915438426970756E-2</v>
      </c>
      <c r="H113" s="132">
        <f t="shared" si="39"/>
        <v>8.472367098040294E-2</v>
      </c>
      <c r="I113" s="132">
        <f t="shared" si="39"/>
        <v>1.03830292201849E-2</v>
      </c>
      <c r="J113" s="132">
        <f t="shared" si="39"/>
        <v>2.4408622751207767E-2</v>
      </c>
      <c r="K113" s="132">
        <f t="shared" si="39"/>
        <v>0.13616029795881435</v>
      </c>
      <c r="L113" s="132">
        <f t="shared" ref="L113:M113" si="44">IFERROR(L98/L92,"n.m.")</f>
        <v>8.54938554665155E-2</v>
      </c>
      <c r="M113" s="132">
        <f t="shared" si="44"/>
        <v>0.10838625313364687</v>
      </c>
    </row>
    <row r="114" spans="1:13" ht="15" customHeight="1" outlineLevel="1" x14ac:dyDescent="0.2">
      <c r="B114" s="48" t="s">
        <v>201</v>
      </c>
      <c r="C114" s="131">
        <f t="shared" ref="C114:K119" si="45">IFERROR(C99/C87,"n.m.")</f>
        <v>0.19052346741408055</v>
      </c>
      <c r="D114" s="131">
        <f t="shared" si="45"/>
        <v>8.6481925056191386E-2</v>
      </c>
      <c r="E114" s="131">
        <f t="shared" si="45"/>
        <v>9.097377890023714E-2</v>
      </c>
      <c r="F114" s="131">
        <f t="shared" si="45"/>
        <v>-3.2889403889800321E-2</v>
      </c>
      <c r="G114" s="131">
        <f t="shared" si="45"/>
        <v>-5.0548881170961422E-2</v>
      </c>
      <c r="H114" s="131">
        <f t="shared" si="45"/>
        <v>-9.5558731938592441E-3</v>
      </c>
      <c r="I114" s="131">
        <f t="shared" si="45"/>
        <v>-0.18659845579312415</v>
      </c>
      <c r="J114" s="131">
        <f>IFERROR(J99/J87,"n.m.")</f>
        <v>-0.14075424201417192</v>
      </c>
      <c r="K114" s="131">
        <f t="shared" si="45"/>
        <v>5.5685150260645268E-3</v>
      </c>
      <c r="L114" s="131">
        <f t="shared" ref="L114:M114" si="46">IFERROR(L99/L87,"n.m.")</f>
        <v>-3.2564125196576088E-2</v>
      </c>
      <c r="M114" s="131">
        <f t="shared" si="46"/>
        <v>1.905373766512105E-2</v>
      </c>
    </row>
    <row r="115" spans="1:13" ht="15" customHeight="1" outlineLevel="1" x14ac:dyDescent="0.2">
      <c r="B115" s="101" t="s">
        <v>202</v>
      </c>
      <c r="C115" s="131">
        <f t="shared" si="45"/>
        <v>9.0233048116381498E-2</v>
      </c>
      <c r="D115" s="131">
        <f t="shared" si="45"/>
        <v>0.14632268650677696</v>
      </c>
      <c r="E115" s="131">
        <f t="shared" si="45"/>
        <v>9.9805643850665829E-2</v>
      </c>
      <c r="F115" s="131">
        <f t="shared" si="45"/>
        <v>3.7710118803362655E-2</v>
      </c>
      <c r="G115" s="131">
        <f t="shared" si="45"/>
        <v>8.014610354653709E-2</v>
      </c>
      <c r="H115" s="131">
        <f t="shared" si="45"/>
        <v>6.8389381493607043E-2</v>
      </c>
      <c r="I115" s="131">
        <f t="shared" si="45"/>
        <v>0.12058630927469584</v>
      </c>
      <c r="J115" s="131">
        <f t="shared" si="45"/>
        <v>0.17659367303341977</v>
      </c>
      <c r="K115" s="131">
        <f t="shared" si="45"/>
        <v>0.19885781508599065</v>
      </c>
      <c r="L115" s="131">
        <f t="shared" ref="L115:M115" si="47">IFERROR(L100/L88,"n.m.")</f>
        <v>0.14706700830646774</v>
      </c>
      <c r="M115" s="131">
        <f t="shared" si="47"/>
        <v>0.21240054579766499</v>
      </c>
    </row>
    <row r="116" spans="1:13" ht="15" customHeight="1" outlineLevel="1" x14ac:dyDescent="0.2">
      <c r="B116" s="101" t="s">
        <v>203</v>
      </c>
      <c r="C116" s="131">
        <f t="shared" si="45"/>
        <v>-0.52449500812630589</v>
      </c>
      <c r="D116" s="131">
        <f t="shared" si="45"/>
        <v>-6.1103810775295711E-3</v>
      </c>
      <c r="E116" s="131">
        <f t="shared" si="45"/>
        <v>-0.11801223380841797</v>
      </c>
      <c r="F116" s="131">
        <f t="shared" si="45"/>
        <v>-0.15031765558382904</v>
      </c>
      <c r="G116" s="131">
        <f t="shared" si="45"/>
        <v>-1.3249042827887099</v>
      </c>
      <c r="H116" s="131">
        <f t="shared" si="45"/>
        <v>-8.041154519196303E-2</v>
      </c>
      <c r="I116" s="131">
        <f t="shared" si="45"/>
        <v>-0.24706556750559588</v>
      </c>
      <c r="J116" s="131">
        <f t="shared" si="45"/>
        <v>-0.42770794797477402</v>
      </c>
      <c r="K116" s="131">
        <f t="shared" si="45"/>
        <v>-5.7672118676302784</v>
      </c>
      <c r="L116" s="131">
        <f t="shared" ref="L116:M116" si="48">IFERROR(L101/L89,"n.m.")</f>
        <v>-0.43010996485659225</v>
      </c>
      <c r="M116" s="131">
        <f t="shared" si="48"/>
        <v>-0.34752243464689814</v>
      </c>
    </row>
    <row r="117" spans="1:13" ht="15" customHeight="1" outlineLevel="1" x14ac:dyDescent="0.2">
      <c r="B117" s="101" t="s">
        <v>212</v>
      </c>
      <c r="C117" s="131">
        <f t="shared" si="45"/>
        <v>0.1676513646345289</v>
      </c>
      <c r="D117" s="131">
        <f t="shared" si="45"/>
        <v>0.24681607756650972</v>
      </c>
      <c r="E117" s="131">
        <f t="shared" si="45"/>
        <v>0.14722096701310444</v>
      </c>
      <c r="F117" s="131">
        <f t="shared" si="45"/>
        <v>0.25776867120603408</v>
      </c>
      <c r="G117" s="131">
        <f t="shared" si="45"/>
        <v>0.18483727886417883</v>
      </c>
      <c r="H117" s="131">
        <f t="shared" si="45"/>
        <v>0.31583033565383911</v>
      </c>
      <c r="I117" s="131">
        <f t="shared" si="45"/>
        <v>0.33997214195131087</v>
      </c>
      <c r="J117" s="131">
        <f t="shared" si="45"/>
        <v>0.21812036106762611</v>
      </c>
      <c r="K117" s="131">
        <f t="shared" si="45"/>
        <v>0.27100257243433523</v>
      </c>
      <c r="L117" s="131">
        <f t="shared" ref="L117:M117" si="49">IFERROR(L102/L90,"n.m.")</f>
        <v>0.17010103226918949</v>
      </c>
      <c r="M117" s="131">
        <f t="shared" si="49"/>
        <v>0.15015654528530731</v>
      </c>
    </row>
    <row r="118" spans="1:13" ht="15" customHeight="1" outlineLevel="1" x14ac:dyDescent="0.2">
      <c r="B118" s="101" t="s">
        <v>213</v>
      </c>
      <c r="C118" s="131">
        <f t="shared" si="45"/>
        <v>2.9998075257434316</v>
      </c>
      <c r="D118" s="131">
        <f t="shared" si="45"/>
        <v>1.4789352738414399</v>
      </c>
      <c r="E118" s="131">
        <f t="shared" si="45"/>
        <v>-0.96931256412648037</v>
      </c>
      <c r="F118" s="131">
        <f t="shared" si="45"/>
        <v>0.41131795869222887</v>
      </c>
      <c r="G118" s="131">
        <f t="shared" si="45"/>
        <v>3.8932628797886393</v>
      </c>
      <c r="H118" s="131">
        <f t="shared" si="45"/>
        <v>2.8493332228940615</v>
      </c>
      <c r="I118" s="131">
        <f t="shared" si="45"/>
        <v>8.3965208909120488</v>
      </c>
      <c r="J118" s="131">
        <f t="shared" si="45"/>
        <v>-8.2991934128717837</v>
      </c>
      <c r="K118" s="131">
        <f t="shared" si="45"/>
        <v>7.4670037485833838</v>
      </c>
      <c r="L118" s="131">
        <f t="shared" ref="L118:M118" si="50">IFERROR(L103/L91,"n.m.")</f>
        <v>12.745249650407175</v>
      </c>
      <c r="M118" s="131">
        <f t="shared" si="50"/>
        <v>3.7447642173229214</v>
      </c>
    </row>
    <row r="119" spans="1:13" ht="15" customHeight="1" outlineLevel="1" x14ac:dyDescent="0.25">
      <c r="A119" s="75" t="s">
        <v>79</v>
      </c>
      <c r="B119" s="49" t="s">
        <v>234</v>
      </c>
      <c r="C119" s="132">
        <f t="shared" si="45"/>
        <v>0.17022533950026572</v>
      </c>
      <c r="D119" s="132">
        <f t="shared" si="45"/>
        <v>0.10715777329258114</v>
      </c>
      <c r="E119" s="132">
        <f t="shared" si="45"/>
        <v>8.5922381384799046E-2</v>
      </c>
      <c r="F119" s="132">
        <f t="shared" si="45"/>
        <v>-6.4992428639129964E-3</v>
      </c>
      <c r="G119" s="132">
        <f t="shared" si="45"/>
        <v>1.5340807560706037E-2</v>
      </c>
      <c r="H119" s="132">
        <f t="shared" si="45"/>
        <v>3.5759385225813803E-2</v>
      </c>
      <c r="I119" s="132">
        <f t="shared" si="45"/>
        <v>-4.9984386840984532E-3</v>
      </c>
      <c r="J119" s="132">
        <f t="shared" si="45"/>
        <v>-5.8208248577032703E-2</v>
      </c>
      <c r="K119" s="132">
        <f t="shared" si="45"/>
        <v>0.10799846250888054</v>
      </c>
      <c r="L119" s="132">
        <f t="shared" ref="L119:M119" si="51">IFERROR(L104/L92,"n.m.")</f>
        <v>8.6921856009623905E-2</v>
      </c>
      <c r="M119" s="132">
        <f t="shared" si="51"/>
        <v>0.13175960489513019</v>
      </c>
    </row>
    <row r="120" spans="1:13" x14ac:dyDescent="0.2">
      <c r="F120" s="92"/>
    </row>
    <row r="121" spans="1:13" x14ac:dyDescent="0.2">
      <c r="F121" s="92"/>
    </row>
    <row r="122" spans="1:13" ht="20.100000000000001" customHeight="1" outlineLevel="1" x14ac:dyDescent="0.2">
      <c r="B122" s="34" t="s">
        <v>165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outlineLevel="1" x14ac:dyDescent="0.2">
      <c r="B123" s="36" t="s">
        <v>132</v>
      </c>
      <c r="C123" s="37" t="s">
        <v>187</v>
      </c>
      <c r="D123" s="37" t="s">
        <v>190</v>
      </c>
      <c r="E123" s="37" t="s">
        <v>192</v>
      </c>
      <c r="F123" s="37">
        <v>2019</v>
      </c>
      <c r="G123" s="37" t="s">
        <v>197</v>
      </c>
      <c r="H123" s="37" t="s">
        <v>216</v>
      </c>
      <c r="I123" s="37" t="s">
        <v>222</v>
      </c>
      <c r="J123" s="37">
        <v>2020</v>
      </c>
      <c r="K123" s="37" t="s">
        <v>235</v>
      </c>
      <c r="L123" s="37" t="s">
        <v>238</v>
      </c>
      <c r="M123" s="37" t="s">
        <v>242</v>
      </c>
    </row>
    <row r="124" spans="1:13" ht="15" customHeight="1" outlineLevel="1" x14ac:dyDescent="0.2">
      <c r="B124" s="48" t="s">
        <v>169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  <c r="K124" s="3">
        <v>3413.2109999999998</v>
      </c>
      <c r="L124" s="3">
        <v>3174.4409999999998</v>
      </c>
      <c r="M124" s="3">
        <v>3837.9250000000002</v>
      </c>
    </row>
    <row r="125" spans="1:13" ht="15" customHeight="1" outlineLevel="1" x14ac:dyDescent="0.2">
      <c r="B125" s="26" t="s">
        <v>170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  <c r="K125" s="3">
        <v>2431.663</v>
      </c>
      <c r="L125" s="3">
        <v>2513.5459999999998</v>
      </c>
      <c r="M125" s="3">
        <v>2351.5279999999998</v>
      </c>
    </row>
    <row r="126" spans="1:13" ht="15" customHeight="1" outlineLevel="1" x14ac:dyDescent="0.2">
      <c r="B126" s="26" t="s">
        <v>171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  <c r="K126" s="3">
        <v>2132.7139999999999</v>
      </c>
      <c r="L126" s="3">
        <v>2433.31</v>
      </c>
      <c r="M126" s="3">
        <v>2942.8040000000001</v>
      </c>
    </row>
    <row r="127" spans="1:13" ht="15" customHeight="1" outlineLevel="1" x14ac:dyDescent="0.2">
      <c r="B127" s="26" t="s">
        <v>172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  <c r="K127" s="3">
        <v>2730.4549999999999</v>
      </c>
      <c r="L127" s="3">
        <v>2810.14</v>
      </c>
      <c r="M127" s="3">
        <v>2817.2649999999999</v>
      </c>
    </row>
    <row r="128" spans="1:13" ht="15" customHeight="1" outlineLevel="1" x14ac:dyDescent="0.2">
      <c r="B128" s="26" t="s">
        <v>173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  <c r="K128" s="3">
        <v>141.27799999999999</v>
      </c>
      <c r="L128" s="3">
        <v>132.12799999999999</v>
      </c>
      <c r="M128" s="3">
        <v>129.52199999999999</v>
      </c>
    </row>
    <row r="129" spans="1:13" ht="15" customHeight="1" outlineLevel="1" x14ac:dyDescent="0.2">
      <c r="B129" s="49" t="s">
        <v>166</v>
      </c>
      <c r="C129" s="50">
        <v>13435.368</v>
      </c>
      <c r="D129" s="50">
        <v>12460.67</v>
      </c>
      <c r="E129" s="50">
        <v>12241.508</v>
      </c>
      <c r="F129" s="50">
        <v>12663.147999999999</v>
      </c>
      <c r="G129" s="50">
        <v>12662.343999999999</v>
      </c>
      <c r="H129" s="50">
        <v>12719.023999999999</v>
      </c>
      <c r="I129" s="50">
        <v>14616.946</v>
      </c>
      <c r="J129" s="50">
        <v>13917.032999999999</v>
      </c>
      <c r="K129" s="50">
        <v>15628.932000000001</v>
      </c>
      <c r="L129" s="50">
        <v>15975.706</v>
      </c>
      <c r="M129" s="50">
        <v>17405.184000000001</v>
      </c>
    </row>
    <row r="130" spans="1:13" ht="15" customHeight="1" outlineLevel="1" x14ac:dyDescent="0.2">
      <c r="B130" s="26" t="s">
        <v>168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  <c r="K130" s="3">
        <v>4193.1940000000004</v>
      </c>
      <c r="L130" s="3">
        <v>4048.2440000000001</v>
      </c>
      <c r="M130" s="3">
        <v>4476.7449999999999</v>
      </c>
    </row>
    <row r="131" spans="1:13" ht="15" customHeight="1" outlineLevel="1" x14ac:dyDescent="0.2">
      <c r="B131" s="26" t="s">
        <v>174</v>
      </c>
      <c r="C131" s="3">
        <f>537.246+183.738</f>
        <v>720.98399999999992</v>
      </c>
      <c r="D131" s="3">
        <f>542.341+203.866</f>
        <v>746.20699999999999</v>
      </c>
      <c r="E131" s="3">
        <f>583.766+183.372</f>
        <v>767.13799999999992</v>
      </c>
      <c r="F131" s="3">
        <f>407.897+212.591</f>
        <v>620.48800000000006</v>
      </c>
      <c r="G131" s="3">
        <f>300.323+138.338</f>
        <v>438.66099999999994</v>
      </c>
      <c r="H131" s="3">
        <f>756.547+157.097</f>
        <v>913.64400000000001</v>
      </c>
      <c r="I131" s="3">
        <f>1682.742+91.718</f>
        <v>1774.46</v>
      </c>
      <c r="J131" s="3">
        <v>1875.394</v>
      </c>
      <c r="K131" s="3">
        <v>2049.0279999999998</v>
      </c>
      <c r="L131" s="3">
        <v>2007.4369999999999</v>
      </c>
      <c r="M131" s="3">
        <v>2129.3420000000001</v>
      </c>
    </row>
    <row r="132" spans="1:13" ht="15" customHeight="1" outlineLevel="1" x14ac:dyDescent="0.2">
      <c r="B132" s="26" t="s">
        <v>175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  <c r="K132" s="3">
        <v>273.76600000000002</v>
      </c>
      <c r="L132" s="3">
        <v>288.44299999999998</v>
      </c>
      <c r="M132" s="3">
        <v>274.48200000000003</v>
      </c>
    </row>
    <row r="133" spans="1:13" ht="15" customHeight="1" outlineLevel="1" x14ac:dyDescent="0.2">
      <c r="B133" s="26" t="s">
        <v>176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  <c r="K133" s="3">
        <v>6508.86</v>
      </c>
      <c r="L133" s="3">
        <v>6915.9849999999997</v>
      </c>
      <c r="M133" s="3">
        <v>7417.35</v>
      </c>
    </row>
    <row r="134" spans="1:13" ht="15" customHeight="1" outlineLevel="1" x14ac:dyDescent="0.25">
      <c r="A134" s="75" t="s">
        <v>79</v>
      </c>
      <c r="B134" s="49" t="s">
        <v>167</v>
      </c>
      <c r="C134" s="50">
        <v>13435.368</v>
      </c>
      <c r="D134" s="50">
        <v>12460.67</v>
      </c>
      <c r="E134" s="50">
        <v>12241.508</v>
      </c>
      <c r="F134" s="50">
        <v>12663.147999999999</v>
      </c>
      <c r="G134" s="50">
        <v>12662.343999999999</v>
      </c>
      <c r="H134" s="50">
        <v>12719.023999999999</v>
      </c>
      <c r="I134" s="50">
        <v>14616.946</v>
      </c>
      <c r="J134" s="50">
        <v>13917.032999999999</v>
      </c>
      <c r="K134" s="50">
        <v>15628.932000000001</v>
      </c>
      <c r="L134" s="50">
        <v>15975.706</v>
      </c>
      <c r="M134" s="50">
        <v>17405.184000000001</v>
      </c>
    </row>
    <row r="137" spans="1:13" ht="20.100000000000001" customHeight="1" outlineLevel="1" x14ac:dyDescent="0.2">
      <c r="B137" s="34" t="s">
        <v>177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outlineLevel="1" x14ac:dyDescent="0.2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216</v>
      </c>
      <c r="I138" s="37" t="s">
        <v>222</v>
      </c>
      <c r="J138" s="37">
        <v>2020</v>
      </c>
      <c r="K138" s="37" t="s">
        <v>235</v>
      </c>
      <c r="L138" s="37" t="s">
        <v>238</v>
      </c>
      <c r="M138" s="37" t="s">
        <v>242</v>
      </c>
    </row>
    <row r="139" spans="1:13" ht="15" customHeight="1" outlineLevel="1" x14ac:dyDescent="0.2">
      <c r="B139" s="48" t="s">
        <v>201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  <c r="K139" s="3">
        <v>7316.5940000000001</v>
      </c>
      <c r="L139" s="3">
        <v>7188.93</v>
      </c>
      <c r="M139" s="3">
        <v>7338.9170000000004</v>
      </c>
    </row>
    <row r="140" spans="1:13" ht="15" customHeight="1" outlineLevel="1" x14ac:dyDescent="0.2">
      <c r="B140" s="101" t="s">
        <v>202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  <c r="K140" s="3">
        <v>4419.1859999999997</v>
      </c>
      <c r="L140" s="3">
        <v>4532.8779999999997</v>
      </c>
      <c r="M140" s="3">
        <v>5593.8710000000001</v>
      </c>
    </row>
    <row r="141" spans="1:13" ht="15" customHeight="1" outlineLevel="1" x14ac:dyDescent="0.2">
      <c r="B141" s="101" t="s">
        <v>203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  <c r="K141" s="3">
        <v>369.476</v>
      </c>
      <c r="L141" s="3">
        <v>428.03199999999998</v>
      </c>
      <c r="M141" s="3">
        <v>427.87200000000001</v>
      </c>
    </row>
    <row r="142" spans="1:13" ht="15" customHeight="1" outlineLevel="1" x14ac:dyDescent="0.2">
      <c r="B142" s="101" t="s">
        <v>212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  <c r="K142" s="3">
        <v>507.56400000000002</v>
      </c>
      <c r="L142" s="3">
        <v>515.68100000000004</v>
      </c>
      <c r="M142" s="3">
        <v>567.17399999999998</v>
      </c>
    </row>
    <row r="143" spans="1:13" ht="15" customHeight="1" outlineLevel="1" x14ac:dyDescent="0.2">
      <c r="B143" s="101" t="s">
        <v>213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  <c r="K143" s="3">
        <v>3016.1120000000001</v>
      </c>
      <c r="L143" s="3">
        <v>3310.1849999999999</v>
      </c>
      <c r="M143" s="3">
        <v>3477.35</v>
      </c>
    </row>
    <row r="144" spans="1:13" ht="15" customHeight="1" outlineLevel="1" x14ac:dyDescent="0.2">
      <c r="B144" s="49" t="s">
        <v>166</v>
      </c>
      <c r="C144" s="50">
        <v>13435.368</v>
      </c>
      <c r="D144" s="50">
        <v>12460.67</v>
      </c>
      <c r="E144" s="50">
        <v>12241.508</v>
      </c>
      <c r="F144" s="50">
        <v>12663.147999999999</v>
      </c>
      <c r="G144" s="50">
        <v>12662.343999999999</v>
      </c>
      <c r="H144" s="50">
        <v>12719.023999999999</v>
      </c>
      <c r="I144" s="50">
        <v>14616.946</v>
      </c>
      <c r="J144" s="50">
        <v>13917.032999999999</v>
      </c>
      <c r="K144" s="50">
        <v>15628.932000000001</v>
      </c>
      <c r="L144" s="50">
        <v>15975.706</v>
      </c>
      <c r="M144" s="50">
        <v>17405.184000000001</v>
      </c>
    </row>
    <row r="145" spans="2:13" ht="15" customHeight="1" outlineLevel="1" x14ac:dyDescent="0.2">
      <c r="B145" s="48" t="s">
        <v>201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  <c r="K145" s="3">
        <v>6030.63</v>
      </c>
      <c r="L145" s="3">
        <v>5935.0929999999998</v>
      </c>
      <c r="M145" s="3">
        <v>6029.3639999999996</v>
      </c>
    </row>
    <row r="146" spans="2:13" ht="15" customHeight="1" outlineLevel="1" x14ac:dyDescent="0.2">
      <c r="B146" s="101" t="s">
        <v>202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  <c r="K146" s="3">
        <v>2511.6640000000002</v>
      </c>
      <c r="L146" s="3">
        <v>2375.5430000000001</v>
      </c>
      <c r="M146" s="3">
        <v>3199.8159999999998</v>
      </c>
    </row>
    <row r="147" spans="2:13" ht="15" customHeight="1" outlineLevel="1" x14ac:dyDescent="0.2">
      <c r="B147" s="101" t="s">
        <v>203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  <c r="K147" s="3">
        <v>237.703</v>
      </c>
      <c r="L147" s="3">
        <v>312.428</v>
      </c>
      <c r="M147" s="3">
        <v>333.77199999999999</v>
      </c>
    </row>
    <row r="148" spans="2:13" ht="15" customHeight="1" outlineLevel="1" x14ac:dyDescent="0.2">
      <c r="B148" s="101" t="s">
        <v>212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  <c r="K148" s="3">
        <v>141.79300000000001</v>
      </c>
      <c r="L148" s="3">
        <v>153.499</v>
      </c>
      <c r="M148" s="3">
        <v>132.58799999999999</v>
      </c>
    </row>
    <row r="149" spans="2:13" ht="15" customHeight="1" outlineLevel="1" x14ac:dyDescent="0.2">
      <c r="B149" s="101" t="s">
        <v>213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  <c r="K149" s="3">
        <v>198.28200000000001</v>
      </c>
      <c r="L149" s="3">
        <v>283.15800000000002</v>
      </c>
      <c r="M149" s="3">
        <v>292.29399999999998</v>
      </c>
    </row>
    <row r="150" spans="2:13" ht="15" customHeight="1" outlineLevel="1" x14ac:dyDescent="0.2">
      <c r="B150" s="49" t="s">
        <v>179</v>
      </c>
      <c r="C150" s="50">
        <v>8561.1470000000008</v>
      </c>
      <c r="D150" s="50">
        <v>7289.6440000000002</v>
      </c>
      <c r="E150" s="50">
        <v>6850.3069999999998</v>
      </c>
      <c r="F150" s="50">
        <v>7166.2780000000002</v>
      </c>
      <c r="G150" s="50">
        <v>7264.6620000000003</v>
      </c>
      <c r="H150" s="50">
        <v>7030.4260000000004</v>
      </c>
      <c r="I150" s="50">
        <v>8391.4040000000005</v>
      </c>
      <c r="J150" s="50">
        <v>8106.1329999999998</v>
      </c>
      <c r="K150" s="50">
        <v>9120.0720000000001</v>
      </c>
      <c r="L150" s="50">
        <v>9059.7209999999995</v>
      </c>
      <c r="M150" s="50">
        <v>9987.8340000000007</v>
      </c>
    </row>
    <row r="151" spans="2:13" ht="15" customHeight="1" outlineLevel="1" x14ac:dyDescent="0.2">
      <c r="B151" s="48" t="s">
        <v>201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  <c r="K151" s="3">
        <v>906.04</v>
      </c>
      <c r="L151" s="3">
        <v>813.93600000000004</v>
      </c>
      <c r="M151" s="3">
        <v>861.01300000000003</v>
      </c>
    </row>
    <row r="152" spans="2:13" ht="15" customHeight="1" outlineLevel="1" x14ac:dyDescent="0.2">
      <c r="B152" s="101" t="s">
        <v>202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  <c r="K152" s="3">
        <v>2630.556</v>
      </c>
      <c r="L152" s="3">
        <v>2862.1149999999998</v>
      </c>
      <c r="M152" s="3">
        <v>3147.2330000000002</v>
      </c>
    </row>
    <row r="153" spans="2:13" ht="15" customHeight="1" outlineLevel="1" x14ac:dyDescent="0.2">
      <c r="B153" s="101" t="s">
        <v>203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  <c r="K153" s="3">
        <v>-100.22799999999999</v>
      </c>
      <c r="L153" s="3">
        <v>-122.991</v>
      </c>
      <c r="M153" s="3">
        <v>-140.80600000000001</v>
      </c>
    </row>
    <row r="154" spans="2:13" ht="15" customHeight="1" outlineLevel="1" x14ac:dyDescent="0.2">
      <c r="B154" s="101" t="s">
        <v>212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  <c r="K154" s="3">
        <v>351.13900000000001</v>
      </c>
      <c r="L154" s="3">
        <v>372.79700000000003</v>
      </c>
      <c r="M154" s="3">
        <v>394.13499999999999</v>
      </c>
    </row>
    <row r="155" spans="2:13" ht="15" customHeight="1" outlineLevel="1" x14ac:dyDescent="0.2">
      <c r="B155" s="101" t="s">
        <v>213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  <c r="K155" s="3">
        <v>2635.8589999999999</v>
      </c>
      <c r="L155" s="3">
        <v>2903.1759999999999</v>
      </c>
      <c r="M155" s="3">
        <v>3055.8040000000001</v>
      </c>
    </row>
    <row r="156" spans="2:13" ht="15" customHeight="1" outlineLevel="1" x14ac:dyDescent="0.2">
      <c r="B156" s="49" t="s">
        <v>180</v>
      </c>
      <c r="C156" s="50">
        <v>4815.8990000000003</v>
      </c>
      <c r="D156" s="50">
        <v>5125.3130000000001</v>
      </c>
      <c r="E156" s="50">
        <v>5345.7089999999998</v>
      </c>
      <c r="F156" s="50">
        <v>5428.68</v>
      </c>
      <c r="G156" s="50">
        <v>5325.5929999999998</v>
      </c>
      <c r="H156" s="50">
        <v>5609.625</v>
      </c>
      <c r="I156" s="50">
        <v>6137.2049999999999</v>
      </c>
      <c r="J156" s="50">
        <v>5730.1390000000001</v>
      </c>
      <c r="K156" s="50">
        <v>6423.366</v>
      </c>
      <c r="L156" s="50">
        <v>6829.0330000000004</v>
      </c>
      <c r="M156" s="50">
        <v>7317.3789999999999</v>
      </c>
    </row>
    <row r="157" spans="2:13" ht="15" customHeight="1" outlineLevel="1" x14ac:dyDescent="0.2">
      <c r="B157" s="48" t="s">
        <v>201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  <c r="K157" s="3">
        <v>6.1950000000000003</v>
      </c>
      <c r="L157" s="3">
        <v>6.194</v>
      </c>
      <c r="M157" s="3">
        <v>6.2370000000000001</v>
      </c>
    </row>
    <row r="158" spans="2:13" ht="15" customHeight="1" outlineLevel="1" x14ac:dyDescent="0.2">
      <c r="B158" s="101" t="s">
        <v>202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  <c r="K158" s="3">
        <v>20.02</v>
      </c>
      <c r="L158" s="3">
        <v>19.042000000000002</v>
      </c>
      <c r="M158" s="3">
        <v>18.818999999999999</v>
      </c>
    </row>
    <row r="159" spans="2:13" ht="15" customHeight="1" outlineLevel="1" x14ac:dyDescent="0.2">
      <c r="B159" s="101" t="s">
        <v>203</v>
      </c>
      <c r="C159" s="3"/>
      <c r="D159" s="3"/>
      <c r="E159" s="3"/>
      <c r="F159" s="3" t="s">
        <v>6</v>
      </c>
      <c r="G159" s="3" t="s">
        <v>6</v>
      </c>
      <c r="H159" s="3" t="s">
        <v>6</v>
      </c>
      <c r="I159" s="3" t="s">
        <v>6</v>
      </c>
      <c r="J159" s="3" t="s">
        <v>6</v>
      </c>
      <c r="K159" s="3" t="s">
        <v>6</v>
      </c>
      <c r="L159" s="3" t="s">
        <v>6</v>
      </c>
      <c r="M159" s="3" t="s">
        <v>6</v>
      </c>
    </row>
    <row r="160" spans="2:13" ht="15" customHeight="1" outlineLevel="1" x14ac:dyDescent="0.2">
      <c r="B160" s="101" t="s">
        <v>212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  <c r="K160" s="3">
        <v>5.2999999999999999E-2</v>
      </c>
      <c r="L160" s="3">
        <v>5.7000000000000002E-2</v>
      </c>
      <c r="M160" s="3">
        <v>6.0999999999999999E-2</v>
      </c>
    </row>
    <row r="161" spans="1:13" ht="15" customHeight="1" outlineLevel="1" x14ac:dyDescent="0.2">
      <c r="B161" s="101" t="s">
        <v>213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  <c r="K161" s="3">
        <v>59.225999999999999</v>
      </c>
      <c r="L161" s="3">
        <v>61.658999999999999</v>
      </c>
      <c r="M161" s="3">
        <v>74.853999999999999</v>
      </c>
    </row>
    <row r="162" spans="1:13" ht="15" customHeight="1" outlineLevel="1" x14ac:dyDescent="0.25">
      <c r="A162" s="75" t="s">
        <v>79</v>
      </c>
      <c r="B162" s="49" t="s">
        <v>181</v>
      </c>
      <c r="C162" s="50">
        <v>58.322000000000003</v>
      </c>
      <c r="D162" s="50">
        <v>45.713000000000001</v>
      </c>
      <c r="E162" s="50">
        <v>45.491999999999997</v>
      </c>
      <c r="F162" s="50">
        <v>68.19</v>
      </c>
      <c r="G162" s="50">
        <v>72.088999999999999</v>
      </c>
      <c r="H162" s="50">
        <v>78.972999999999999</v>
      </c>
      <c r="I162" s="50">
        <v>88.337000000000003</v>
      </c>
      <c r="J162" s="50">
        <v>80.760999999999996</v>
      </c>
      <c r="K162" s="50">
        <v>85.494</v>
      </c>
      <c r="L162" s="50">
        <v>86.951999999999998</v>
      </c>
      <c r="M162" s="50">
        <v>99.971000000000004</v>
      </c>
    </row>
    <row r="165" spans="1:13" ht="20.100000000000001" customHeight="1" outlineLevel="1" x14ac:dyDescent="0.2">
      <c r="B165" s="34" t="s">
        <v>153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outlineLevel="1" x14ac:dyDescent="0.2">
      <c r="B166" s="36" t="s">
        <v>132</v>
      </c>
      <c r="C166" s="37" t="s">
        <v>187</v>
      </c>
      <c r="D166" s="37" t="s">
        <v>190</v>
      </c>
      <c r="E166" s="37" t="s">
        <v>192</v>
      </c>
      <c r="F166" s="37">
        <v>2019</v>
      </c>
      <c r="G166" s="37" t="s">
        <v>197</v>
      </c>
      <c r="H166" s="37" t="s">
        <v>216</v>
      </c>
      <c r="I166" s="37" t="s">
        <v>222</v>
      </c>
      <c r="J166" s="37">
        <v>2020</v>
      </c>
      <c r="K166" s="37" t="s">
        <v>235</v>
      </c>
      <c r="L166" s="37" t="s">
        <v>238</v>
      </c>
      <c r="M166" s="37" t="s">
        <v>242</v>
      </c>
    </row>
    <row r="167" spans="1:13" ht="15" customHeight="1" outlineLevel="1" x14ac:dyDescent="0.2">
      <c r="B167" s="48" t="s">
        <v>127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  <c r="K167" s="3">
        <v>409.37799999999999</v>
      </c>
      <c r="L167" s="3">
        <v>724.98699999999997</v>
      </c>
      <c r="M167" s="3">
        <v>1199.1690000000001</v>
      </c>
    </row>
    <row r="168" spans="1:13" ht="15" customHeight="1" outlineLevel="1" x14ac:dyDescent="0.2">
      <c r="B168" s="26" t="s">
        <v>154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  <c r="K168" s="3">
        <v>143.43899999999999</v>
      </c>
      <c r="L168" s="3">
        <v>160.291</v>
      </c>
      <c r="M168" s="3">
        <v>-2.093</v>
      </c>
    </row>
    <row r="169" spans="1:13" ht="15" customHeight="1" outlineLevel="1" x14ac:dyDescent="0.2">
      <c r="B169" s="26" t="s">
        <v>155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  <c r="K169" s="3">
        <v>-322.875</v>
      </c>
      <c r="L169" s="3">
        <v>-599.22199999999998</v>
      </c>
      <c r="M169" s="3">
        <v>-539.48599999999999</v>
      </c>
    </row>
    <row r="170" spans="1:13" ht="15" customHeight="1" outlineLevel="1" x14ac:dyDescent="0.2">
      <c r="B170" s="6" t="s">
        <v>156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  <c r="K170" s="7">
        <v>133.489</v>
      </c>
      <c r="L170" s="7">
        <v>34.68</v>
      </c>
      <c r="M170" s="7">
        <v>229.52600000000001</v>
      </c>
    </row>
    <row r="171" spans="1:13" ht="15" customHeight="1" outlineLevel="1" x14ac:dyDescent="0.2">
      <c r="B171" s="26" t="s">
        <v>151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  <c r="K171" s="3">
        <f>+(-99.91)+2.304</f>
        <v>-97.605999999999995</v>
      </c>
      <c r="L171" s="3">
        <f>-232.966+7.18</f>
        <v>-225.786</v>
      </c>
      <c r="M171" s="3">
        <f>11.943-317.033</f>
        <v>-305.09000000000003</v>
      </c>
    </row>
    <row r="172" spans="1:13" ht="15" customHeight="1" outlineLevel="1" x14ac:dyDescent="0.2">
      <c r="B172" s="26" t="s">
        <v>157</v>
      </c>
      <c r="C172" s="87">
        <v>-12.179000000000002</v>
      </c>
      <c r="D172" s="87">
        <v>-116.337</v>
      </c>
      <c r="E172" s="87">
        <v>-112.77799999999996</v>
      </c>
      <c r="F172" s="87">
        <v>-157.03300000000002</v>
      </c>
      <c r="G172" s="87">
        <v>-374.43900000000002</v>
      </c>
      <c r="H172" s="3">
        <v>-724.05899999999997</v>
      </c>
      <c r="I172" s="3">
        <v>-998.18299999999988</v>
      </c>
      <c r="J172" s="3">
        <v>-713.44600000000003</v>
      </c>
      <c r="K172" s="3">
        <v>-55.373999999999995</v>
      </c>
      <c r="L172" s="3">
        <v>-79.089999999999975</v>
      </c>
      <c r="M172" s="3">
        <v>264.37100000000004</v>
      </c>
    </row>
    <row r="173" spans="1:13" ht="15" customHeight="1" outlineLevel="1" x14ac:dyDescent="0.2">
      <c r="B173" s="6" t="s">
        <v>158</v>
      </c>
      <c r="C173" s="51">
        <v>-69.281000000000006</v>
      </c>
      <c r="D173" s="51">
        <v>-226.06</v>
      </c>
      <c r="E173" s="51">
        <v>-269.43599999999998</v>
      </c>
      <c r="F173" s="51">
        <v>-393.08100000000002</v>
      </c>
      <c r="G173" s="51">
        <v>-439.64400000000001</v>
      </c>
      <c r="H173" s="7">
        <v>-987.42499999999995</v>
      </c>
      <c r="I173" s="7">
        <v>-1186.117</v>
      </c>
      <c r="J173" s="7">
        <v>-1250.087</v>
      </c>
      <c r="K173" s="7">
        <v>-152.97999999999999</v>
      </c>
      <c r="L173" s="7">
        <v>-304.87599999999998</v>
      </c>
      <c r="M173" s="7">
        <v>-40.719000000000001</v>
      </c>
    </row>
    <row r="174" spans="1:13" ht="15" customHeight="1" outlineLevel="1" x14ac:dyDescent="0.2">
      <c r="B174" s="80" t="s">
        <v>182</v>
      </c>
      <c r="C174" s="3">
        <f>144.453-(513.131)</f>
        <v>-368.678</v>
      </c>
      <c r="D174" s="3">
        <v>328.66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  <c r="K174" s="3">
        <f>195.861-179.804</f>
        <v>16.056999999999988</v>
      </c>
      <c r="L174" s="3">
        <f>564.147-668.925</f>
        <v>-104.77799999999991</v>
      </c>
      <c r="M174" s="3">
        <f>1824.184-1763.25</f>
        <v>60.933999999999969</v>
      </c>
    </row>
    <row r="175" spans="1:13" ht="15" customHeight="1" outlineLevel="1" x14ac:dyDescent="0.2">
      <c r="B175" s="26" t="s">
        <v>159</v>
      </c>
      <c r="C175" s="87" t="s">
        <v>6</v>
      </c>
      <c r="D175" s="3">
        <v>-450.97199999999998</v>
      </c>
      <c r="E175" s="3">
        <v>-450.97199999999998</v>
      </c>
      <c r="F175" s="3">
        <v>-450.97199999999998</v>
      </c>
      <c r="G175" s="3" t="s">
        <v>6</v>
      </c>
      <c r="H175" s="3">
        <v>-243.07400000000001</v>
      </c>
      <c r="I175" s="3">
        <v>-385.238</v>
      </c>
      <c r="J175" s="3">
        <v>-385.238</v>
      </c>
      <c r="K175" s="3">
        <v>-71.081999999999994</v>
      </c>
      <c r="L175" s="3">
        <v>-71.081999999999994</v>
      </c>
      <c r="M175" s="3">
        <v>-71.081999999999994</v>
      </c>
    </row>
    <row r="176" spans="1:13" ht="15" customHeight="1" outlineLevel="1" x14ac:dyDescent="0.2">
      <c r="B176" s="6" t="s">
        <v>160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-113.57299999999999</v>
      </c>
      <c r="H176" s="7">
        <v>107.676</v>
      </c>
      <c r="I176" s="7">
        <v>600.81700000000001</v>
      </c>
      <c r="J176" s="7">
        <v>899.07299999999998</v>
      </c>
      <c r="K176" s="7">
        <v>-65.334000000000003</v>
      </c>
      <c r="L176" s="7">
        <v>-198.51900000000001</v>
      </c>
      <c r="M176" s="7">
        <v>-44.228999999999999</v>
      </c>
    </row>
    <row r="177" spans="1:13" ht="15" customHeight="1" outlineLevel="1" x14ac:dyDescent="0.25">
      <c r="A177" s="75" t="s">
        <v>79</v>
      </c>
      <c r="B177" s="49" t="s">
        <v>161</v>
      </c>
      <c r="C177" s="50">
        <v>-61.174999999999997</v>
      </c>
      <c r="D177" s="50">
        <v>-289.35000000000002</v>
      </c>
      <c r="E177" s="50">
        <v>-604.57399999999996</v>
      </c>
      <c r="F177" s="50">
        <v>-486.97500000000002</v>
      </c>
      <c r="G177" s="50">
        <v>-159.17500000000001</v>
      </c>
      <c r="H177" s="50">
        <v>-1079.865</v>
      </c>
      <c r="I177" s="50">
        <v>-1150.402</v>
      </c>
      <c r="J177" s="50">
        <v>-835.50900000000001</v>
      </c>
      <c r="K177" s="50">
        <v>154.095</v>
      </c>
      <c r="L177" s="50">
        <v>-84.674999999999997</v>
      </c>
      <c r="M177" s="50">
        <v>578.80899999999997</v>
      </c>
    </row>
    <row r="180" spans="1:13" ht="20.100000000000001" customHeight="1" outlineLevel="1" x14ac:dyDescent="0.2">
      <c r="B180" s="34" t="s">
        <v>183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outlineLevel="1" x14ac:dyDescent="0.2">
      <c r="B181" s="36" t="s">
        <v>132</v>
      </c>
      <c r="C181" s="37" t="s">
        <v>187</v>
      </c>
      <c r="D181" s="37" t="s">
        <v>190</v>
      </c>
      <c r="E181" s="37" t="s">
        <v>192</v>
      </c>
      <c r="F181" s="37">
        <v>2019</v>
      </c>
      <c r="G181" s="37" t="s">
        <v>197</v>
      </c>
      <c r="H181" s="37" t="s">
        <v>216</v>
      </c>
      <c r="I181" s="37" t="s">
        <v>222</v>
      </c>
      <c r="J181" s="37">
        <v>2020</v>
      </c>
      <c r="K181" s="37" t="s">
        <v>235</v>
      </c>
      <c r="L181" s="37" t="s">
        <v>238</v>
      </c>
      <c r="M181" s="37" t="s">
        <v>242</v>
      </c>
    </row>
    <row r="182" spans="1:13" ht="15" customHeight="1" outlineLevel="1" x14ac:dyDescent="0.2">
      <c r="B182" s="48" t="s">
        <v>201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  <c r="K182" s="3">
        <v>70.656000000000006</v>
      </c>
      <c r="L182" s="3">
        <v>124.127</v>
      </c>
      <c r="M182" s="3">
        <v>151.607</v>
      </c>
    </row>
    <row r="183" spans="1:13" ht="15" customHeight="1" outlineLevel="1" x14ac:dyDescent="0.2">
      <c r="B183" s="101" t="s">
        <v>202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  <c r="K183" s="3">
        <v>23.789000000000001</v>
      </c>
      <c r="L183" s="3">
        <v>82.828999999999994</v>
      </c>
      <c r="M183" s="3">
        <v>130.15199999999999</v>
      </c>
    </row>
    <row r="184" spans="1:13" ht="15" customHeight="1" outlineLevel="1" x14ac:dyDescent="0.2">
      <c r="B184" s="101" t="s">
        <v>203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  <c r="K184" s="3">
        <v>1.99</v>
      </c>
      <c r="L184" s="3">
        <v>10.29</v>
      </c>
      <c r="M184" s="3">
        <v>14.819000000000001</v>
      </c>
    </row>
    <row r="185" spans="1:13" ht="15" customHeight="1" outlineLevel="1" x14ac:dyDescent="0.2">
      <c r="B185" s="101" t="s">
        <v>212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  <c r="K185" s="3">
        <v>3.2690000000000001</v>
      </c>
      <c r="L185" s="3">
        <v>14.81</v>
      </c>
      <c r="M185" s="3">
        <v>19.442</v>
      </c>
    </row>
    <row r="186" spans="1:13" ht="15" customHeight="1" outlineLevel="1" x14ac:dyDescent="0.2">
      <c r="B186" s="101" t="s">
        <v>213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  <c r="K186" s="3">
        <v>0.20599999999999999</v>
      </c>
      <c r="L186" s="3">
        <v>0.91</v>
      </c>
      <c r="M186" s="3">
        <v>1.0129999999999999</v>
      </c>
    </row>
    <row r="187" spans="1:13" ht="15" customHeight="1" outlineLevel="1" x14ac:dyDescent="0.2">
      <c r="B187" s="49" t="s">
        <v>151</v>
      </c>
      <c r="C187" s="50">
        <v>58.59</v>
      </c>
      <c r="D187" s="50">
        <v>115.53100000000001</v>
      </c>
      <c r="E187" s="50">
        <v>163.97499999999999</v>
      </c>
      <c r="F187" s="50">
        <v>291.78399999999999</v>
      </c>
      <c r="G187" s="50">
        <v>72.733000000000004</v>
      </c>
      <c r="H187" s="50">
        <v>284.642</v>
      </c>
      <c r="I187" s="50">
        <v>381.96199999999999</v>
      </c>
      <c r="J187" s="50">
        <v>567.726</v>
      </c>
      <c r="K187" s="50">
        <v>99.91</v>
      </c>
      <c r="L187" s="50">
        <v>232.96600000000001</v>
      </c>
      <c r="M187" s="50">
        <v>317.03300000000002</v>
      </c>
    </row>
    <row r="188" spans="1:13" ht="15" customHeight="1" outlineLevel="1" x14ac:dyDescent="0.2">
      <c r="B188" s="48" t="s">
        <v>201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  <c r="K188" s="3">
        <v>56.838999999999999</v>
      </c>
      <c r="L188" s="3">
        <v>124.206</v>
      </c>
      <c r="M188" s="3">
        <v>190.74</v>
      </c>
    </row>
    <row r="189" spans="1:13" ht="15" customHeight="1" outlineLevel="1" x14ac:dyDescent="0.2">
      <c r="B189" s="101" t="s">
        <v>202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  <c r="K189" s="3">
        <v>20.023</v>
      </c>
      <c r="L189" s="3">
        <v>41.009</v>
      </c>
      <c r="M189" s="3">
        <v>59.179000000000002</v>
      </c>
    </row>
    <row r="190" spans="1:13" ht="15" customHeight="1" outlineLevel="1" x14ac:dyDescent="0.2">
      <c r="B190" s="101" t="s">
        <v>203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  <c r="K190" s="3">
        <v>5.2350000000000003</v>
      </c>
      <c r="L190" s="3">
        <v>11.259</v>
      </c>
      <c r="M190" s="3">
        <v>16.097000000000001</v>
      </c>
    </row>
    <row r="191" spans="1:13" ht="15" customHeight="1" outlineLevel="1" x14ac:dyDescent="0.2">
      <c r="B191" s="101" t="s">
        <v>212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  <c r="K191" s="3">
        <v>3.4020000000000001</v>
      </c>
      <c r="L191" s="3">
        <v>6.8319999999999999</v>
      </c>
      <c r="M191" s="3">
        <v>10.917999999999999</v>
      </c>
    </row>
    <row r="192" spans="1:13" ht="15" customHeight="1" outlineLevel="1" x14ac:dyDescent="0.2">
      <c r="B192" s="101" t="s">
        <v>213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  <c r="K192" s="3">
        <v>3.6869999999999998</v>
      </c>
      <c r="L192" s="3">
        <v>6.5940000000000003</v>
      </c>
      <c r="M192" s="3">
        <v>9.6270000000000007</v>
      </c>
    </row>
    <row r="193" spans="1:13" ht="15" customHeight="1" outlineLevel="1" x14ac:dyDescent="0.25">
      <c r="A193" s="75" t="s">
        <v>79</v>
      </c>
      <c r="B193" s="49" t="s">
        <v>152</v>
      </c>
      <c r="C193" s="50">
        <v>64.438000000000002</v>
      </c>
      <c r="D193" s="50">
        <v>143.53599999999997</v>
      </c>
      <c r="E193" s="50">
        <v>212.547</v>
      </c>
      <c r="F193" s="50">
        <v>289.108</v>
      </c>
      <c r="G193" s="50">
        <v>73.34</v>
      </c>
      <c r="H193" s="50">
        <v>139.24600000000001</v>
      </c>
      <c r="I193" s="50">
        <v>228.92</v>
      </c>
      <c r="J193" s="50">
        <v>315.01799999999997</v>
      </c>
      <c r="K193" s="50">
        <v>89.186000000000007</v>
      </c>
      <c r="L193" s="50">
        <v>189.9</v>
      </c>
      <c r="M193" s="50">
        <v>286.56099999999998</v>
      </c>
    </row>
    <row r="194" spans="1:13" x14ac:dyDescent="0.2">
      <c r="A194" s="63"/>
      <c r="B194" s="2"/>
    </row>
    <row r="195" spans="1:13" x14ac:dyDescent="0.2">
      <c r="A195" s="63"/>
      <c r="B195" s="2"/>
    </row>
    <row r="196" spans="1:13" ht="20.100000000000001" customHeight="1" outlineLevel="1" x14ac:dyDescent="0.2">
      <c r="B196" s="34" t="s">
        <v>150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outlineLevel="1" x14ac:dyDescent="0.2">
      <c r="B197" s="36" t="s">
        <v>132</v>
      </c>
      <c r="C197" s="37" t="s">
        <v>187</v>
      </c>
      <c r="D197" s="37" t="s">
        <v>190</v>
      </c>
      <c r="E197" s="37" t="s">
        <v>192</v>
      </c>
      <c r="F197" s="37">
        <v>2019</v>
      </c>
      <c r="G197" s="37" t="s">
        <v>197</v>
      </c>
      <c r="H197" s="37" t="s">
        <v>216</v>
      </c>
      <c r="I197" s="37" t="s">
        <v>222</v>
      </c>
      <c r="J197" s="37">
        <v>2020</v>
      </c>
      <c r="K197" s="37" t="s">
        <v>235</v>
      </c>
      <c r="L197" s="37" t="s">
        <v>238</v>
      </c>
      <c r="M197" s="37" t="s">
        <v>242</v>
      </c>
    </row>
    <row r="198" spans="1:13" ht="15" customHeight="1" outlineLevel="1" x14ac:dyDescent="0.2">
      <c r="B198" s="48" t="s">
        <v>201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  <c r="K198" s="3">
        <v>-855.07600000000002</v>
      </c>
      <c r="L198" s="3">
        <v>-1236.6199999999999</v>
      </c>
      <c r="M198" s="3">
        <v>-1560.7309</v>
      </c>
    </row>
    <row r="199" spans="1:13" ht="15" customHeight="1" outlineLevel="1" x14ac:dyDescent="0.2">
      <c r="B199" s="101" t="s">
        <v>202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  <c r="K199" s="3">
        <v>889.71</v>
      </c>
      <c r="L199" s="3">
        <v>1035.1875</v>
      </c>
      <c r="M199" s="3">
        <v>1481.0229999999999</v>
      </c>
    </row>
    <row r="200" spans="1:13" ht="15" customHeight="1" outlineLevel="1" x14ac:dyDescent="0.2">
      <c r="B200" s="101" t="s">
        <v>203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  <c r="K200" s="3">
        <v>-199.0154</v>
      </c>
      <c r="L200" s="3">
        <v>-242.892</v>
      </c>
      <c r="M200" s="3">
        <v>-282.31900000000002</v>
      </c>
    </row>
    <row r="201" spans="1:13" ht="15" customHeight="1" outlineLevel="1" x14ac:dyDescent="0.2">
      <c r="B201" s="101" t="s">
        <v>212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  <c r="K201" s="3">
        <v>98.876100000000008</v>
      </c>
      <c r="L201" s="3">
        <v>89.897999999999996</v>
      </c>
      <c r="M201" s="3">
        <v>143.553</v>
      </c>
    </row>
    <row r="202" spans="1:13" ht="15" customHeight="1" outlineLevel="1" x14ac:dyDescent="0.2">
      <c r="B202" s="101" t="s">
        <v>213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  <c r="K202" s="3">
        <v>1073.1110000000001</v>
      </c>
      <c r="L202" s="3">
        <v>1066.9525000000001</v>
      </c>
      <c r="M202" s="3">
        <v>1409.83</v>
      </c>
    </row>
    <row r="203" spans="1:13" ht="15" customHeight="1" outlineLevel="1" x14ac:dyDescent="0.25">
      <c r="A203" s="75" t="s">
        <v>79</v>
      </c>
      <c r="B203" s="49" t="s">
        <v>146</v>
      </c>
      <c r="C203" s="50">
        <v>4201</v>
      </c>
      <c r="D203" s="50">
        <v>3606.0320000000002</v>
      </c>
      <c r="E203" s="50">
        <v>3508.4549999999999</v>
      </c>
      <c r="F203" s="50">
        <v>3329.0230000000001</v>
      </c>
      <c r="G203" s="50">
        <v>3331.5577000000003</v>
      </c>
      <c r="H203" s="50">
        <v>1818.7360000000001</v>
      </c>
      <c r="I203" s="50">
        <v>899</v>
      </c>
      <c r="J203" s="50">
        <v>1046.3192000000001</v>
      </c>
      <c r="K203" s="50">
        <v>1007.6057000000002</v>
      </c>
      <c r="L203" s="50">
        <v>712.52599999999995</v>
      </c>
      <c r="M203" s="50">
        <v>1191.3561000000002</v>
      </c>
    </row>
    <row r="204" spans="1:13" x14ac:dyDescent="0.2">
      <c r="A204" s="63"/>
      <c r="B204" s="2"/>
    </row>
    <row r="206" spans="1:13" ht="20.100000000000001" customHeight="1" outlineLevel="1" x14ac:dyDescent="0.2">
      <c r="B206" s="34" t="s">
        <v>136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outlineLevel="1" x14ac:dyDescent="0.2">
      <c r="B207" s="36" t="s">
        <v>132</v>
      </c>
      <c r="C207" s="37" t="s">
        <v>187</v>
      </c>
      <c r="D207" s="37" t="s">
        <v>190</v>
      </c>
      <c r="E207" s="37" t="s">
        <v>192</v>
      </c>
      <c r="F207" s="37">
        <v>2019</v>
      </c>
      <c r="G207" s="37" t="s">
        <v>197</v>
      </c>
      <c r="H207" s="37" t="s">
        <v>216</v>
      </c>
      <c r="I207" s="37" t="s">
        <v>222</v>
      </c>
      <c r="J207" s="37">
        <v>2020</v>
      </c>
      <c r="K207" s="37" t="s">
        <v>235</v>
      </c>
      <c r="L207" s="37" t="s">
        <v>238</v>
      </c>
      <c r="M207" s="37" t="s">
        <v>242</v>
      </c>
    </row>
    <row r="208" spans="1:13" ht="15" customHeight="1" outlineLevel="1" x14ac:dyDescent="0.2">
      <c r="B208" s="48" t="s">
        <v>137</v>
      </c>
      <c r="C208" s="3">
        <v>-4201</v>
      </c>
      <c r="D208" s="3">
        <v>-3606.0320000000002</v>
      </c>
      <c r="E208" s="3">
        <v>-3510.402</v>
      </c>
      <c r="F208" s="3">
        <v>-3329.0228999999999</v>
      </c>
      <c r="G208" s="3">
        <v>-3331.5576999999998</v>
      </c>
      <c r="H208" s="3">
        <v>-1818.7360000000001</v>
      </c>
      <c r="I208" s="3">
        <v>-899</v>
      </c>
      <c r="J208" s="3">
        <v>-1046.3191999999999</v>
      </c>
      <c r="K208" s="3">
        <v>-1007.6057</v>
      </c>
      <c r="L208" s="3">
        <v>-712.52599999999995</v>
      </c>
      <c r="M208" s="3">
        <v>-1191.3561</v>
      </c>
    </row>
    <row r="209" spans="1:13" ht="15" customHeight="1" outlineLevel="1" x14ac:dyDescent="0.2">
      <c r="B209" s="26" t="s">
        <v>138</v>
      </c>
      <c r="C209" s="104">
        <v>1.9554778515717368</v>
      </c>
      <c r="D209" s="104">
        <v>1.5640685546937687</v>
      </c>
      <c r="E209" s="104">
        <v>1.514162265962554</v>
      </c>
      <c r="F209" s="104">
        <f>F208/F23*-1</f>
        <v>1.7329202081363921</v>
      </c>
      <c r="G209" s="104">
        <f>(G23+F23-C23)/G208*-1</f>
        <v>0.33079301012856543</v>
      </c>
      <c r="H209" s="104">
        <f>(H23+F23-D23)/H208*-1</f>
        <v>0.47976396794257115</v>
      </c>
      <c r="I209" s="104">
        <f>(I23+F23-E23)/I208*-1</f>
        <v>0.55472191323692988</v>
      </c>
      <c r="J209" s="104">
        <f>J208/J23*-1</f>
        <v>2.2807948521205357</v>
      </c>
      <c r="K209" s="104">
        <f>(K23+J23-G23)/K208*-1</f>
        <v>0.84481062383827343</v>
      </c>
      <c r="L209" s="104">
        <f>(L23+J23-H23)/L208*-1</f>
        <v>1.3142397610753855</v>
      </c>
      <c r="M209" s="104">
        <f>(M23+K23-I23)/M208*-1</f>
        <v>1.1381206676996072</v>
      </c>
    </row>
    <row r="210" spans="1:13" ht="15" customHeight="1" outlineLevel="1" x14ac:dyDescent="0.2">
      <c r="B210" s="26" t="s">
        <v>139</v>
      </c>
      <c r="C210" s="104">
        <f t="shared" ref="C210:M210" si="52">C208/C133*-1</f>
        <v>0.8618813139576561</v>
      </c>
      <c r="D210" s="104">
        <f t="shared" si="52"/>
        <v>0.69735329120371858</v>
      </c>
      <c r="E210" s="104">
        <f t="shared" si="52"/>
        <v>0.65113543345907532</v>
      </c>
      <c r="F210" s="104">
        <f t="shared" si="52"/>
        <v>0.60562154462448625</v>
      </c>
      <c r="G210" s="104">
        <f t="shared" si="52"/>
        <v>0.61722007706270954</v>
      </c>
      <c r="H210" s="104">
        <f t="shared" si="52"/>
        <v>0.31971603548009547</v>
      </c>
      <c r="I210" s="104">
        <f t="shared" si="52"/>
        <v>0.14440509758025888</v>
      </c>
      <c r="J210" s="104">
        <f t="shared" si="52"/>
        <v>0.18006147068440345</v>
      </c>
      <c r="K210" s="104">
        <f t="shared" si="52"/>
        <v>0.15480525007451382</v>
      </c>
      <c r="L210" s="104">
        <f t="shared" si="52"/>
        <v>0.1030259608718064</v>
      </c>
      <c r="M210" s="104">
        <f t="shared" si="52"/>
        <v>0.16061748468118667</v>
      </c>
    </row>
    <row r="211" spans="1:13" ht="15" customHeight="1" outlineLevel="1" x14ac:dyDescent="0.2">
      <c r="B211" s="26" t="s">
        <v>140</v>
      </c>
      <c r="C211" s="104">
        <f t="shared" ref="C211:F211" si="53">(C131+C132)/C133</f>
        <v>0.16791072870926452</v>
      </c>
      <c r="D211" s="104">
        <f t="shared" si="53"/>
        <v>0.16580036534335738</v>
      </c>
      <c r="E211" s="104">
        <f t="shared" si="53"/>
        <v>0.15525928267189443</v>
      </c>
      <c r="F211" s="104">
        <f t="shared" si="53"/>
        <v>0.15207672730117322</v>
      </c>
      <c r="G211" s="104">
        <f>(G131+G132)/G133</f>
        <v>0.1372843009276945</v>
      </c>
      <c r="H211" s="104">
        <f>(H131+H132)/H133</f>
        <v>0.21999814365507986</v>
      </c>
      <c r="I211" s="104">
        <f>(I131+I132)/I133</f>
        <v>0.33982535175250606</v>
      </c>
      <c r="J211" s="104">
        <f t="shared" ref="J211:M211" si="54">(J131+J132)/J133</f>
        <v>0.36965134488633433</v>
      </c>
      <c r="K211" s="104">
        <f t="shared" si="54"/>
        <v>0.35686648660441306</v>
      </c>
      <c r="L211" s="104">
        <f t="shared" si="54"/>
        <v>0.33196717459624336</v>
      </c>
      <c r="M211" s="104">
        <f t="shared" si="54"/>
        <v>0.3240812419529886</v>
      </c>
    </row>
    <row r="212" spans="1:13" ht="15" customHeight="1" outlineLevel="1" x14ac:dyDescent="0.2">
      <c r="B212" s="26" t="s">
        <v>141</v>
      </c>
      <c r="C212" s="104">
        <f t="shared" ref="C212:M212" si="55">C129/C133</f>
        <v>2.7564133838002016</v>
      </c>
      <c r="D212" s="104">
        <f t="shared" si="55"/>
        <v>2.4097094077654995</v>
      </c>
      <c r="E212" s="104">
        <f t="shared" si="55"/>
        <v>2.2706458171379622</v>
      </c>
      <c r="F212" s="104">
        <f t="shared" si="55"/>
        <v>2.3037015610702087</v>
      </c>
      <c r="G212" s="104">
        <f t="shared" si="55"/>
        <v>2.345885511595533</v>
      </c>
      <c r="H212" s="104">
        <f t="shared" si="55"/>
        <v>2.2358802643463291</v>
      </c>
      <c r="I212" s="104">
        <f t="shared" si="55"/>
        <v>2.347899347558815</v>
      </c>
      <c r="J212" s="104">
        <f t="shared" si="55"/>
        <v>2.3949875234473148</v>
      </c>
      <c r="K212" s="104">
        <f t="shared" si="55"/>
        <v>2.4011780864851913</v>
      </c>
      <c r="L212" s="104">
        <f t="shared" si="55"/>
        <v>2.3099682836212052</v>
      </c>
      <c r="M212" s="104">
        <f t="shared" si="55"/>
        <v>2.3465501830168458</v>
      </c>
    </row>
    <row r="213" spans="1:13" ht="15" customHeight="1" outlineLevel="1" x14ac:dyDescent="0.2">
      <c r="B213" s="26" t="s">
        <v>142</v>
      </c>
      <c r="C213" s="104">
        <v>1.3258674495855256</v>
      </c>
      <c r="D213" s="104">
        <v>1.3580654501923284</v>
      </c>
      <c r="E213" s="104">
        <v>1.4139050112512892</v>
      </c>
      <c r="F213" s="104">
        <v>1.3870722449481416</v>
      </c>
      <c r="G213" s="104">
        <f>8550.829/6681.968</f>
        <v>1.2796872119112213</v>
      </c>
      <c r="H213" s="104">
        <f>7924.878/6357.436</f>
        <v>1.2465525409929412</v>
      </c>
      <c r="I213" s="104">
        <f>9206.766/7677.233</f>
        <v>1.1992297224794402</v>
      </c>
      <c r="J213" s="104">
        <f>9013.197/7474.512</f>
        <v>1.2058575864216956</v>
      </c>
      <c r="K213" s="104">
        <f>10590.856/8463.673</f>
        <v>1.2513309528853489</v>
      </c>
      <c r="L213" s="104">
        <f>10440.011/8251.577</f>
        <v>1.2652140312088225</v>
      </c>
      <c r="M213" s="104">
        <f>11903.475/9169.961</f>
        <v>1.2980943975661403</v>
      </c>
    </row>
    <row r="214" spans="1:13" ht="15" customHeight="1" outlineLevel="1" x14ac:dyDescent="0.2">
      <c r="B214" s="26" t="s">
        <v>143</v>
      </c>
      <c r="C214" s="104">
        <v>0.59546493337676831</v>
      </c>
      <c r="D214" s="104">
        <v>0.65173690980210186</v>
      </c>
      <c r="E214" s="104">
        <v>0.6473765874214753</v>
      </c>
      <c r="F214" s="104">
        <v>0.61618442621655656</v>
      </c>
      <c r="G214" s="104">
        <f>3935.45/6681.968</f>
        <v>0.5889657059117912</v>
      </c>
      <c r="H214" s="104">
        <f>(3014.76+4.105)/6357.436</f>
        <v>0.47485574373064871</v>
      </c>
      <c r="I214" s="104">
        <f>2944.223/7677.233</f>
        <v>0.38350053984293558</v>
      </c>
      <c r="J214" s="104">
        <f>3259.116/7474.512</f>
        <v>0.43603060641283337</v>
      </c>
      <c r="K214" s="104">
        <f>3413.211/8463.673</f>
        <v>0.40327774950662665</v>
      </c>
      <c r="L214" s="104">
        <f>3174.441/8251.577</f>
        <v>0.38470718991048619</v>
      </c>
      <c r="M214" s="104">
        <f>7474.512/9169.961</f>
        <v>0.81510837396145963</v>
      </c>
    </row>
    <row r="215" spans="1:13" ht="15" customHeight="1" outlineLevel="1" x14ac:dyDescent="0.2">
      <c r="B215" s="26" t="s">
        <v>214</v>
      </c>
      <c r="C215" s="104">
        <v>1.2434449100876284</v>
      </c>
      <c r="D215" s="104">
        <v>1.3307228398401125</v>
      </c>
      <c r="E215" s="104">
        <v>1.2025398112981713</v>
      </c>
      <c r="F215" s="104">
        <v>1.1825215837550431</v>
      </c>
      <c r="G215" s="104">
        <f>(G18+F18-C18)/AVERAGE(G129,C129)</f>
        <v>0.99915394882126063</v>
      </c>
      <c r="H215" s="104">
        <f>(H18+F18-D18)/AVERAGE(H129,D129)</f>
        <v>0.95138709787338971</v>
      </c>
      <c r="I215" s="104">
        <f>(I18+F18-E18)/AVERAGE(I129,E129)</f>
        <v>0.86975423082802905</v>
      </c>
      <c r="J215" s="104">
        <f>(J18)/AVERAGE(J129,F129)</f>
        <v>0.88259587096114978</v>
      </c>
      <c r="K215" s="104">
        <f>(K18+J18-G18)/AVERAGE(K129,G129)</f>
        <v>0.88355364388654656</v>
      </c>
      <c r="L215" s="104">
        <f>(L18+J18-H18)/AVERAGE(L129,H129)</f>
        <v>0.9389162400203801</v>
      </c>
      <c r="M215" s="104">
        <f>(M18+J18-I18)/AVERAGE(M129,I129)</f>
        <v>0.89791497317636271</v>
      </c>
    </row>
    <row r="216" spans="1:13" ht="15" customHeight="1" outlineLevel="1" x14ac:dyDescent="0.2">
      <c r="B216" s="26" t="s">
        <v>144</v>
      </c>
      <c r="C216" s="44">
        <v>0.48991622754824227</v>
      </c>
      <c r="D216" s="44">
        <v>0.4789023411525149</v>
      </c>
      <c r="E216" s="44">
        <v>0.38897181131102482</v>
      </c>
      <c r="F216" s="105">
        <v>0.28521745966870155</v>
      </c>
      <c r="G216" s="105">
        <f>(G28+F28-C28)/AVERAGE(G133,C133)</f>
        <v>0.13246094710980039</v>
      </c>
      <c r="H216" s="105">
        <f>(H28+F28-D28)/AVERAGE(H133,D133)</f>
        <v>6.9416768020697558E-2</v>
      </c>
      <c r="I216" s="105">
        <f>(I28+F28-E28)/AVERAGE(I133,E133)</f>
        <v>1.8330439091232373E-2</v>
      </c>
      <c r="J216" s="105">
        <f>(J28)/AVERAGE(J133,F133)</f>
        <v>-1.1920652790072666E-2</v>
      </c>
      <c r="K216" s="105">
        <f>(K28+J28-G28)/AVERAGE(K133,G133)</f>
        <v>4.9656902902622785E-2</v>
      </c>
      <c r="L216" s="105">
        <f>(L28+J28-H28)/AVERAGE(L133,H133)</f>
        <v>8.1901479803020844E-2</v>
      </c>
      <c r="M216" s="105">
        <f>(M28+J28-I28)/AVERAGE(M133,I133)</f>
        <v>0.14715516328942577</v>
      </c>
    </row>
    <row r="217" spans="1:13" ht="15" customHeight="1" outlineLevel="1" x14ac:dyDescent="0.25">
      <c r="A217" s="75" t="s">
        <v>79</v>
      </c>
      <c r="B217" s="28" t="s">
        <v>145</v>
      </c>
      <c r="C217" s="47">
        <v>0.16683848980353724</v>
      </c>
      <c r="D217" s="47">
        <v>0.17862225152116365</v>
      </c>
      <c r="E217" s="47">
        <v>0.1490613793709005</v>
      </c>
      <c r="F217" s="83">
        <v>0.11456966019382098</v>
      </c>
      <c r="G217" s="83">
        <f>(G28+F28-C28)/AVERAGE(G129,C129)</f>
        <v>5.213583474290772E-2</v>
      </c>
      <c r="H217" s="83">
        <f>(H28+F28-D28)/AVERAGE(H129,D129)</f>
        <v>2.9938409894893867E-2</v>
      </c>
      <c r="I217" s="83">
        <f>(I28+F28-E28)/AVERAGE(I129,E129)</f>
        <v>7.9282299718368039E-3</v>
      </c>
      <c r="J217" s="83">
        <f>(J28)/AVERAGE(J129,F129)</f>
        <v>-5.0712972947776396E-3</v>
      </c>
      <c r="K217" s="83">
        <f>(K28+J28-G28)/AVERAGE(K129,G129)</f>
        <v>2.0898385778004503E-2</v>
      </c>
      <c r="L217" s="83">
        <f>(L28+J28-H28)/AVERAGE(L129,H129)</f>
        <v>3.597643190927393E-2</v>
      </c>
      <c r="M217" s="83">
        <f>(M28+J28-I28)/AVERAGE(M129,I129)</f>
        <v>6.2694830106554439E-2</v>
      </c>
    </row>
    <row r="218" spans="1:13" x14ac:dyDescent="0.2">
      <c r="G218" s="3"/>
    </row>
    <row r="219" spans="1:13" ht="15" x14ac:dyDescent="0.25">
      <c r="C219"/>
    </row>
  </sheetData>
  <hyperlinks>
    <hyperlink ref="A29" location="'Financial Data - New Segment'!A1" display="Yukarı" xr:uid="{A8959CD9-16CD-4598-9848-5D469ABC6108}"/>
    <hyperlink ref="B4" location="'Financial Data - New Segment'!A45" display="Summary Consolidated Income Statement (Quarterly)" xr:uid="{A18B67EA-FD27-408F-8C19-39C82E8ACAA9}"/>
    <hyperlink ref="B3" location="'Financial Data - New Segment'!A29" display="Summary Consolidated Income Statement (Cumulative)" xr:uid="{62ACDFB0-A2FD-4A87-8B03-01ED3B612750}"/>
    <hyperlink ref="B5" location="'Financial Data - New Segment'!A67" display="Consolidated Revenues, EBITDA &amp; Net Income (Cumulative)" xr:uid="{BA26DC41-B60F-433F-8D4E-3B634A36266A}"/>
    <hyperlink ref="B7" location="'Financial Data - New Segment'!A104" display="Consolidated Revenues, EBITDA &amp; Net Income (Quarterly)" xr:uid="{52EFC482-6D79-4776-9AD2-7F0FA4A22DF7}"/>
    <hyperlink ref="B9" location="'Financial Data - New Segment'!A134" display="Summary Consolidated Balance Sheet" xr:uid="{D886050A-2BDE-400F-AA05-8E5E4495E9C3}"/>
    <hyperlink ref="B10" location="'Financial Data - New Segment'!A162" display="Segmental assets and liabilities:" xr:uid="{86558083-FC5B-47D0-AB18-1700F3DB49CD}"/>
    <hyperlink ref="B11" location="'Financial Data - New Segment'!A177" display="Summary Consolidated Cash Flow Statement" xr:uid="{1A48DCFF-B771-4E61-B49E-292A3BEDF425}"/>
    <hyperlink ref="B14" location="'Financial Data - New Segment'!A217" display="Ratios" xr:uid="{4401E338-F509-46AC-9CCB-43BAA1CD100F}"/>
    <hyperlink ref="B13" location="'Financial Data - New Segment'!A203" display="Net Cash Position" xr:uid="{C59677E5-0643-48B5-8D73-1BECA85275EB}"/>
    <hyperlink ref="B12" location="'Financial Data - New Segment'!A193" display="Segmental information related to property, plant and equipment, intangible assets, investment property" xr:uid="{775F1B2B-DF63-49F6-A7ED-D2A595035F2C}"/>
    <hyperlink ref="A45" location="'Financial Data - New Segment'!A1" display="Yukarı" xr:uid="{FDCB2420-E69C-4E0C-B9BB-9C0871C257F6}"/>
    <hyperlink ref="A67" location="'Financial Data - New Segment'!A1" display="Yukarı" xr:uid="{478BCA2E-36E3-4C47-B4D6-E933D625ED7A}"/>
    <hyperlink ref="A104" location="'Financial Data - New Segment'!A1" display="Yukarı" xr:uid="{FAB35D40-A616-4104-853F-738292D3BDA6}"/>
    <hyperlink ref="A134" location="'Financial Data - New Segment'!A1" display="Yukarı" xr:uid="{4EFD6BE1-9693-47CA-8D15-FF8FBDC0C993}"/>
    <hyperlink ref="A162" location="'Financial Data - New Segment'!A1" display="Yukarı" xr:uid="{57C380FA-F1D1-4E3F-A457-244C8C62B6F2}"/>
    <hyperlink ref="A177" location="'Financial Data - New Segment'!A1" display="Yukarı" xr:uid="{97567854-C7F1-488D-8668-E65696C6601F}"/>
    <hyperlink ref="A193" location="'Financial Data - New Segment'!A1" display="Yukarı" xr:uid="{77761782-5E2C-43BA-98D8-0A7E3AEF9E37}"/>
    <hyperlink ref="A203" location="'Financial Data - New Segment'!A1" display="Yukarı" xr:uid="{197D3633-BE5F-41CE-9FD8-82BAFD583C59}"/>
    <hyperlink ref="A217" location="'Financial Data - New Segment'!A1" display="Yukarı" xr:uid="{E87AF0F5-B973-49F8-91FE-D2FC4942B19C}"/>
    <hyperlink ref="A82" location="'Financial Data - New Segment'!A1" display="Yukarı" xr:uid="{2762673E-D780-4CB9-A38D-D01473E28F4D}"/>
    <hyperlink ref="A119" location="'Financial Data - New Segment'!A1" display="Yukarı" xr:uid="{679A6272-2CB8-431F-941D-067CD4BE2DC4}"/>
    <hyperlink ref="B6" location="'Financial Data - New Segment'!A82" display="Consolidated EBITDA &amp; Net Income Margin (Cumulative)" xr:uid="{1145E72A-58DE-4365-A3B6-CF310999686C}"/>
    <hyperlink ref="B8" location="'Financial Data - New Segment'!A119" display="Consolidated EBITDA &amp; Net Income Margin (Quarterly)" xr:uid="{FA6FC686-DAB1-478B-A50C-131242407696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3D56-0431-4E94-83C7-17D850E780E0}">
  <sheetPr>
    <tabColor theme="8" tint="0.39997558519241921"/>
    <pageSetUpPr fitToPage="1"/>
  </sheetPr>
  <dimension ref="A2:M148"/>
  <sheetViews>
    <sheetView zoomScale="80" zoomScaleNormal="80" workbookViewId="0">
      <pane xSplit="2" topLeftCell="C1" activePane="topRight" state="frozen"/>
      <selection pane="topRight" activeCell="N127" sqref="N127"/>
    </sheetView>
  </sheetViews>
  <sheetFormatPr defaultColWidth="9.140625" defaultRowHeight="12.75" outlineLevelRow="1" x14ac:dyDescent="0.2"/>
  <cols>
    <col min="1" max="1" width="8.7109375" style="64" customWidth="1"/>
    <col min="2" max="2" width="66.42578125" style="1" customWidth="1"/>
    <col min="3" max="10" width="10.7109375" style="1" customWidth="1"/>
    <col min="11" max="16384" width="9.140625" style="1"/>
  </cols>
  <sheetData>
    <row r="2" spans="1:13" s="130" customFormat="1" ht="24" customHeight="1" x14ac:dyDescent="0.25">
      <c r="A2" s="128"/>
      <c r="B2" s="129" t="s">
        <v>9</v>
      </c>
    </row>
    <row r="3" spans="1:13" ht="15" customHeight="1" x14ac:dyDescent="0.2">
      <c r="A3" s="96" t="s">
        <v>195</v>
      </c>
      <c r="B3" s="63" t="s">
        <v>130</v>
      </c>
    </row>
    <row r="4" spans="1:13" ht="15" customHeight="1" x14ac:dyDescent="0.2">
      <c r="A4" s="96" t="s">
        <v>195</v>
      </c>
      <c r="B4" s="63" t="s">
        <v>131</v>
      </c>
    </row>
    <row r="5" spans="1:13" ht="15" customHeight="1" x14ac:dyDescent="0.2">
      <c r="A5" s="96" t="s">
        <v>195</v>
      </c>
      <c r="B5" s="63" t="s">
        <v>162</v>
      </c>
    </row>
    <row r="6" spans="1:13" ht="15" customHeight="1" x14ac:dyDescent="0.2">
      <c r="A6" s="96" t="s">
        <v>195</v>
      </c>
      <c r="B6" s="63" t="s">
        <v>232</v>
      </c>
    </row>
    <row r="7" spans="1:13" ht="15" customHeight="1" x14ac:dyDescent="0.2">
      <c r="A7" s="96" t="s">
        <v>195</v>
      </c>
      <c r="B7" s="63" t="s">
        <v>164</v>
      </c>
    </row>
    <row r="8" spans="1:13" ht="15" customHeight="1" x14ac:dyDescent="0.2">
      <c r="A8" s="96" t="s">
        <v>195</v>
      </c>
      <c r="B8" s="63" t="s">
        <v>231</v>
      </c>
    </row>
    <row r="9" spans="1:13" ht="15" customHeight="1" x14ac:dyDescent="0.2">
      <c r="A9" s="96" t="s">
        <v>195</v>
      </c>
      <c r="B9" s="63" t="s">
        <v>183</v>
      </c>
    </row>
    <row r="10" spans="1:13" ht="15" customHeight="1" x14ac:dyDescent="0.2">
      <c r="A10" s="96" t="s">
        <v>195</v>
      </c>
      <c r="B10" s="63" t="s">
        <v>150</v>
      </c>
    </row>
    <row r="11" spans="1:13" x14ac:dyDescent="0.2">
      <c r="A11" s="96"/>
      <c r="B11" s="63"/>
    </row>
    <row r="12" spans="1:13" ht="16.5" customHeight="1" x14ac:dyDescent="0.2">
      <c r="B12" s="124" t="s">
        <v>229</v>
      </c>
      <c r="C12" s="125">
        <v>5.3628999999999944</v>
      </c>
      <c r="D12" s="125">
        <v>5.6197000000000008</v>
      </c>
      <c r="E12" s="125">
        <v>5.6338000000000124</v>
      </c>
      <c r="F12" s="125">
        <v>5.6711999999999883</v>
      </c>
      <c r="G12" s="125">
        <v>6.0920999999999896</v>
      </c>
      <c r="H12" s="125">
        <v>6.4730999999999987</v>
      </c>
      <c r="I12" s="125">
        <v>6.7141999999999804</v>
      </c>
      <c r="J12" s="125">
        <v>7.0033999999999912</v>
      </c>
      <c r="K12" s="125">
        <v>7.3719999999999999</v>
      </c>
      <c r="L12" s="125">
        <v>7.8693000000000257</v>
      </c>
      <c r="M12" s="125">
        <v>8.0907999999999998</v>
      </c>
    </row>
    <row r="13" spans="1:13" ht="15.95" customHeight="1" thickBot="1" x14ac:dyDescent="0.25">
      <c r="B13" s="126" t="s">
        <v>230</v>
      </c>
      <c r="C13" s="127">
        <v>5.6284000000000054</v>
      </c>
      <c r="D13" s="127">
        <v>5.7550999999999899</v>
      </c>
      <c r="E13" s="127">
        <v>5.6590999999999907</v>
      </c>
      <c r="F13" s="127">
        <v>5.9401999999999999</v>
      </c>
      <c r="G13" s="127">
        <v>6.5160000000000178</v>
      </c>
      <c r="H13" s="127">
        <v>6.8421999999999876</v>
      </c>
      <c r="I13" s="127">
        <v>7.8080000000000176</v>
      </c>
      <c r="J13" s="127">
        <v>7.3404999999999943</v>
      </c>
      <c r="K13" s="127">
        <v>8.3260000000000005</v>
      </c>
      <c r="L13" s="127">
        <v>8.7052000000000263</v>
      </c>
      <c r="M13" s="127">
        <v>8.8432999999999993</v>
      </c>
    </row>
    <row r="15" spans="1:13" ht="20.100000000000001" customHeight="1" outlineLevel="1" x14ac:dyDescent="0.2">
      <c r="B15" s="34" t="s">
        <v>130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outlineLevel="1" x14ac:dyDescent="0.2">
      <c r="B16" s="33" t="s">
        <v>121</v>
      </c>
      <c r="C16" s="37" t="s">
        <v>187</v>
      </c>
      <c r="D16" s="37" t="s">
        <v>190</v>
      </c>
      <c r="E16" s="37" t="s">
        <v>192</v>
      </c>
      <c r="F16" s="37">
        <v>2019</v>
      </c>
      <c r="G16" s="37" t="s">
        <v>197</v>
      </c>
      <c r="H16" s="37" t="s">
        <v>216</v>
      </c>
      <c r="I16" s="37" t="s">
        <v>222</v>
      </c>
      <c r="J16" s="37">
        <v>2020</v>
      </c>
      <c r="K16" s="37" t="s">
        <v>235</v>
      </c>
      <c r="L16" s="37" t="s">
        <v>238</v>
      </c>
      <c r="M16" s="37" t="s">
        <v>242</v>
      </c>
    </row>
    <row r="17" spans="1:13" ht="15" customHeight="1" outlineLevel="1" x14ac:dyDescent="0.2">
      <c r="B17" s="10" t="s">
        <v>122</v>
      </c>
      <c r="C17" s="3">
        <f>'Financial Data - New Segment'!C18/'Financial Data - New - USD'!C$12</f>
        <v>855.40994611124665</v>
      </c>
      <c r="D17" s="3">
        <f>'Financial Data - New Segment'!D18/'Financial Data - New - USD'!D$12</f>
        <v>1477.9940210331511</v>
      </c>
      <c r="E17" s="3">
        <f>'Financial Data - New Segment'!E18/'Financial Data - New - USD'!E$12</f>
        <v>2005.1856650928282</v>
      </c>
      <c r="F17" s="3">
        <f>'Financial Data - New Segment'!F18/'Financial Data - New - USD'!F$12</f>
        <v>2575.0024686133497</v>
      </c>
      <c r="G17" s="3">
        <f>'Financial Data - New Segment'!G18/'Financial Data - New - USD'!G$12</f>
        <v>496.04241558740091</v>
      </c>
      <c r="H17" s="3">
        <f>'Financial Data - New Segment'!H18/'Financial Data - New - USD'!H$12</f>
        <v>877.53116744681847</v>
      </c>
      <c r="I17" s="3">
        <f>'Financial Data - New Segment'!I18/'Financial Data - New - USD'!I$12</f>
        <v>1247.1460486729654</v>
      </c>
      <c r="J17" s="3">
        <f>'Financial Data - New Segment'!J18/'Financial Data - New - USD'!J$12</f>
        <v>1674.8692063854721</v>
      </c>
      <c r="K17" s="3">
        <f>'Financial Data - New Segment'!K18/'Financial Data - New - USD'!K$12</f>
        <v>514.18760173629948</v>
      </c>
      <c r="L17" s="3">
        <f>'Financial Data - New Segment'!L18/'Financial Data - New - USD'!L$12</f>
        <v>943.10065698346432</v>
      </c>
      <c r="M17" s="3">
        <f>'Financial Data - New Segment'!M18/'Financial Data - New - USD'!M$12</f>
        <v>1362.088297819746</v>
      </c>
    </row>
    <row r="18" spans="1:13" ht="15" customHeight="1" outlineLevel="1" x14ac:dyDescent="0.2">
      <c r="B18" s="40" t="s">
        <v>123</v>
      </c>
      <c r="C18" s="99">
        <f>'Financial Data - New Segment'!C19/'Financial Data - New - USD'!C$12</f>
        <v>198.34268772492516</v>
      </c>
      <c r="D18" s="99">
        <f>'Financial Data - New Segment'!D19/'Financial Data - New - USD'!D$12</f>
        <v>290.5843728312899</v>
      </c>
      <c r="E18" s="99">
        <f>'Financial Data - New Segment'!E19/'Financial Data - New - USD'!E$12</f>
        <v>381.19226809613326</v>
      </c>
      <c r="F18" s="99">
        <f>'Financial Data - New Segment'!F19/'Financial Data - New - USD'!F$12</f>
        <v>423.46628579489436</v>
      </c>
      <c r="G18" s="99">
        <f>'Financial Data - New Segment'!G19/'Financial Data - New - USD'!G$12</f>
        <v>40.048259220958357</v>
      </c>
      <c r="H18" s="99">
        <f>'Financial Data - New Segment'!H19/'Financial Data - New - USD'!H$12</f>
        <v>92.614203395591005</v>
      </c>
      <c r="I18" s="99">
        <f>'Financial Data - New Segment'!I19/'Financial Data - New - USD'!I$12</f>
        <v>106.83000208513332</v>
      </c>
      <c r="J18" s="99">
        <f>'Financial Data - New Segment'!J19/'Financial Data - New - USD'!J$12</f>
        <v>130.50761058914259</v>
      </c>
      <c r="K18" s="99">
        <f>'Financial Data - New Segment'!K19/'Financial Data - New - USD'!K$12</f>
        <v>88.219207813347793</v>
      </c>
      <c r="L18" s="99">
        <f>'Financial Data - New Segment'!L19/'Financial Data - New - USD'!L$12</f>
        <v>139.36423824228285</v>
      </c>
      <c r="M18" s="99">
        <f>'Financial Data - New Segment'!M19/'Financial Data - New - USD'!M$12</f>
        <v>190.10283284718446</v>
      </c>
    </row>
    <row r="19" spans="1:13" ht="15" customHeight="1" outlineLevel="1" x14ac:dyDescent="0.2">
      <c r="B19" s="24" t="s">
        <v>124</v>
      </c>
      <c r="C19" s="44">
        <f>C18/C17</f>
        <v>0.23186857789835724</v>
      </c>
      <c r="D19" s="44">
        <f t="shared" ref="D19:J19" si="0">D18/D17</f>
        <v>0.19660727221898022</v>
      </c>
      <c r="E19" s="44">
        <f t="shared" si="0"/>
        <v>0.19010322821078332</v>
      </c>
      <c r="F19" s="44">
        <f t="shared" si="0"/>
        <v>0.16445276886391991</v>
      </c>
      <c r="G19" s="44">
        <f t="shared" si="0"/>
        <v>8.0735553981879191E-2</v>
      </c>
      <c r="H19" s="44">
        <f t="shared" si="0"/>
        <v>0.1055395031324671</v>
      </c>
      <c r="I19" s="44">
        <f t="shared" si="0"/>
        <v>8.5659576277218319E-2</v>
      </c>
      <c r="J19" s="44">
        <f t="shared" si="0"/>
        <v>7.7921075921379257E-2</v>
      </c>
      <c r="K19" s="44">
        <f t="shared" ref="K19:L19" si="1">K18/K17</f>
        <v>0.17157007970524912</v>
      </c>
      <c r="L19" s="44">
        <f t="shared" si="1"/>
        <v>0.1477723901582717</v>
      </c>
      <c r="M19" s="44">
        <f t="shared" ref="M19" si="2">M18/M17</f>
        <v>0.13956718749546293</v>
      </c>
    </row>
    <row r="20" spans="1:13" ht="15" customHeight="1" outlineLevel="1" x14ac:dyDescent="0.2">
      <c r="B20" s="40" t="s">
        <v>125</v>
      </c>
      <c r="C20" s="99">
        <f>'Financial Data - New Segment'!C21/'Financial Data - New - USD'!C$12</f>
        <v>158.75440526580783</v>
      </c>
      <c r="D20" s="99">
        <f>'Financial Data - New Segment'!D21/'Financial Data - New - USD'!D$12</f>
        <v>228.39101731409147</v>
      </c>
      <c r="E20" s="99">
        <f>'Financial Data - New Segment'!E21/'Financial Data - New - USD'!E$12</f>
        <v>285.1741275870632</v>
      </c>
      <c r="F20" s="99">
        <f>'Financial Data - New Segment'!F21/'Financial Data - New - USD'!F$12</f>
        <v>282.72517280293471</v>
      </c>
      <c r="G20" s="99">
        <f>'Financial Data - New Segment'!G21/'Financial Data - New - USD'!G$12</f>
        <v>-5.2989937788283275</v>
      </c>
      <c r="H20" s="99">
        <f>'Financial Data - New Segment'!H21/'Financial Data - New - USD'!H$12</f>
        <v>10.53405632540823</v>
      </c>
      <c r="I20" s="99">
        <f>'Financial Data - New Segment'!I21/'Financial Data - New - USD'!I$12</f>
        <v>-11.262250156385008</v>
      </c>
      <c r="J20" s="99">
        <f>'Financial Data - New Segment'!J21/'Financial Data - New - USD'!J$12</f>
        <v>0.14450124225376265</v>
      </c>
      <c r="K20" s="99">
        <f>'Financial Data - New Segment'!K21/'Financial Data - New - USD'!K$12</f>
        <v>41.587221920781339</v>
      </c>
      <c r="L20" s="99">
        <f>'Financial Data - New Segment'!L21/'Financial Data - New - USD'!L$12</f>
        <v>60.220095815383637</v>
      </c>
      <c r="M20" s="99">
        <f>'Financial Data - New Segment'!M21/'Financial Data - New - USD'!M$12</f>
        <v>91.302590596727157</v>
      </c>
    </row>
    <row r="21" spans="1:13" ht="15" customHeight="1" outlineLevel="1" x14ac:dyDescent="0.2">
      <c r="B21" s="24" t="s">
        <v>124</v>
      </c>
      <c r="C21" s="44">
        <f>C20/C17</f>
        <v>0.18558868293210343</v>
      </c>
      <c r="D21" s="44">
        <f t="shared" ref="D21:J21" si="3">D20/D17</f>
        <v>0.15452770042631228</v>
      </c>
      <c r="E21" s="44">
        <f t="shared" si="3"/>
        <v>0.14221831551636457</v>
      </c>
      <c r="F21" s="44">
        <f t="shared" si="3"/>
        <v>0.10979607835295919</v>
      </c>
      <c r="G21" s="44">
        <f t="shared" si="3"/>
        <v>-1.0682541678524391E-2</v>
      </c>
      <c r="H21" s="44">
        <f t="shared" si="3"/>
        <v>1.2004196222519505E-2</v>
      </c>
      <c r="I21" s="44">
        <f t="shared" si="3"/>
        <v>-9.0304180239104189E-3</v>
      </c>
      <c r="J21" s="44">
        <f t="shared" si="3"/>
        <v>8.6276135296325709E-5</v>
      </c>
      <c r="K21" s="44">
        <f t="shared" ref="K21:L21" si="4">K20/K17</f>
        <v>8.0879472356685286E-2</v>
      </c>
      <c r="L21" s="44">
        <f t="shared" si="4"/>
        <v>6.3853307035114812E-2</v>
      </c>
      <c r="M21" s="44">
        <f t="shared" ref="M21" si="5">M20/M17</f>
        <v>6.7031330305731635E-2</v>
      </c>
    </row>
    <row r="22" spans="1:13" ht="15" customHeight="1" outlineLevel="1" x14ac:dyDescent="0.2">
      <c r="B22" s="40" t="s">
        <v>126</v>
      </c>
      <c r="C22" s="99">
        <f>'Financial Data - New Segment'!C23/'Financial Data - New - USD'!C$12</f>
        <v>175.76982602696319</v>
      </c>
      <c r="D22" s="99">
        <f>'Financial Data - New Segment'!D23/'Financial Data - New - USD'!D$12</f>
        <v>248.65348684093453</v>
      </c>
      <c r="E22" s="99">
        <f>'Financial Data - New Segment'!E23/'Financial Data - New - USD'!E$12</f>
        <v>319.3565621782804</v>
      </c>
      <c r="F22" s="99">
        <f>'Financial Data - New Segment'!F23/'Financial Data - New - USD'!F$12</f>
        <v>338.737480603753</v>
      </c>
      <c r="G22" s="99">
        <f>'Financial Data - New Segment'!G23/'Financial Data - New - USD'!G$12</f>
        <v>20.295792912132139</v>
      </c>
      <c r="H22" s="99">
        <f>'Financial Data - New Segment'!H23/'Financial Data - New - USD'!H$12</f>
        <v>53.895969473667961</v>
      </c>
      <c r="I22" s="99">
        <f>'Financial Data - New Segment'!I23/'Financial Data - New - USD'!I$12</f>
        <v>56.125525006702382</v>
      </c>
      <c r="J22" s="99">
        <f>'Financial Data - New Segment'!J23/'Financial Data - New - USD'!J$12</f>
        <v>65.504183682211576</v>
      </c>
      <c r="K22" s="99">
        <f>'Financial Data - New Segment'!K23/'Financial Data - New - USD'!K$12</f>
        <v>70.01193705914271</v>
      </c>
      <c r="L22" s="99">
        <f>'Financial Data - New Segment'!L23/'Financial Data - New - USD'!L$12</f>
        <v>105.03500946716954</v>
      </c>
      <c r="M22" s="99">
        <f>'Financial Data - New Segment'!M23/'Financial Data - New - USD'!M$12</f>
        <v>150.37042072477382</v>
      </c>
    </row>
    <row r="23" spans="1:13" ht="15" customHeight="1" outlineLevel="1" x14ac:dyDescent="0.2">
      <c r="B23" s="24" t="s">
        <v>124</v>
      </c>
      <c r="C23" s="44">
        <f>C22/C17</f>
        <v>0.20548022246646194</v>
      </c>
      <c r="D23" s="44">
        <f t="shared" ref="D23:J23" si="6">D22/D17</f>
        <v>0.16823713986821148</v>
      </c>
      <c r="E23" s="44">
        <f t="shared" si="6"/>
        <v>0.15926533275086827</v>
      </c>
      <c r="F23" s="44">
        <f t="shared" si="6"/>
        <v>0.13154841004333664</v>
      </c>
      <c r="G23" s="44">
        <f t="shared" si="6"/>
        <v>4.0915438426970756E-2</v>
      </c>
      <c r="H23" s="44">
        <f t="shared" si="6"/>
        <v>6.141772676915689E-2</v>
      </c>
      <c r="I23" s="44">
        <f t="shared" si="6"/>
        <v>4.5003169489590371E-2</v>
      </c>
      <c r="J23" s="44">
        <f t="shared" si="6"/>
        <v>3.9110029268241107E-2</v>
      </c>
      <c r="K23" s="44">
        <f t="shared" ref="K23:L23" si="7">K22/K17</f>
        <v>0.13616029795881435</v>
      </c>
      <c r="L23" s="44">
        <f t="shared" si="7"/>
        <v>0.11137200328449263</v>
      </c>
      <c r="M23" s="44">
        <f t="shared" ref="M23" si="8">M22/M17</f>
        <v>0.11039696983335608</v>
      </c>
    </row>
    <row r="24" spans="1:13" ht="15" customHeight="1" outlineLevel="1" x14ac:dyDescent="0.2">
      <c r="B24" s="39" t="s">
        <v>128</v>
      </c>
      <c r="C24" s="107">
        <f>'Financial Data - New Segment'!C25/'Financial Data - New - USD'!C$12</f>
        <v>20.446773201066609</v>
      </c>
      <c r="D24" s="107">
        <f>'Financial Data - New Segment'!D25/'Financial Data - New - USD'!D$12</f>
        <v>29.909247824616973</v>
      </c>
      <c r="E24" s="107">
        <f>'Financial Data - New Segment'!E25/'Financial Data - New - USD'!E$12</f>
        <v>29.760552380276128</v>
      </c>
      <c r="F24" s="107">
        <f>'Financial Data - New Segment'!F25/'Financial Data - New - USD'!F$12</f>
        <v>40.716955847087128</v>
      </c>
      <c r="G24" s="107">
        <f>'Financial Data - New Segment'!G25/'Financial Data - New - USD'!G$12</f>
        <v>15.078544344314794</v>
      </c>
      <c r="H24" s="107">
        <f>'Financial Data - New Segment'!H25/'Financial Data - New - USD'!H$12</f>
        <v>24.47637144490276</v>
      </c>
      <c r="I24" s="107">
        <f>'Financial Data - New Segment'!I25/'Financial Data - New - USD'!I$12</f>
        <v>55.659497780822896</v>
      </c>
      <c r="J24" s="107">
        <f>'Financial Data - New Segment'!J25/'Financial Data - New - USD'!J$12</f>
        <v>32.083987777365301</v>
      </c>
      <c r="K24" s="107">
        <f>'Financial Data - New Segment'!K25/'Financial Data - New - USD'!K$12</f>
        <v>29.721513836136729</v>
      </c>
      <c r="L24" s="107">
        <f>'Financial Data - New Segment'!L25/'Financial Data - New - USD'!L$12</f>
        <v>35.45080248560852</v>
      </c>
      <c r="M24" s="107">
        <f>'Financial Data - New Segment'!M25/'Financial Data - New - USD'!M$12</f>
        <v>41.527784644287337</v>
      </c>
    </row>
    <row r="25" spans="1:13" ht="15" customHeight="1" outlineLevel="1" x14ac:dyDescent="0.2">
      <c r="B25" s="84" t="s">
        <v>188</v>
      </c>
      <c r="C25" s="99">
        <f>'Financial Data - New Segment'!C26/'Financial Data - New - USD'!C$12</f>
        <v>181.0690111693302</v>
      </c>
      <c r="D25" s="99">
        <f>'Financial Data - New Segment'!D26/'Financial Data - New - USD'!D$12</f>
        <v>259.91156111536202</v>
      </c>
      <c r="E25" s="99">
        <f>'Financial Data - New Segment'!E26/'Financial Data - New - USD'!E$12</f>
        <v>318.41563420781642</v>
      </c>
      <c r="F25" s="99">
        <f>'Financial Data - New Segment'!F26/'Financial Data - New - USD'!F$12</f>
        <v>313.33879954859708</v>
      </c>
      <c r="G25" s="99">
        <f>'Financial Data - New Segment'!G26/'Financial Data - New - USD'!G$12</f>
        <v>12.756849033994866</v>
      </c>
      <c r="H25" s="99">
        <f>'Financial Data - New Segment'!H26/'Financial Data - New - USD'!H$12</f>
        <v>40.086975328667883</v>
      </c>
      <c r="I25" s="99">
        <f>'Financial Data - New Segment'!I26/'Financial Data - New - USD'!I$12</f>
        <v>49.468886836853379</v>
      </c>
      <c r="J25" s="99">
        <f>'Financial Data - New Segment'!J26/'Financial Data - New - USD'!J$12</f>
        <v>32.766085044407042</v>
      </c>
      <c r="K25" s="99">
        <f>'Financial Data - New Segment'!K26/'Financial Data - New - USD'!K$12</f>
        <v>71.398399348887693</v>
      </c>
      <c r="L25" s="99">
        <f>'Financial Data - New Segment'!L26/'Financial Data - New - USD'!L$12</f>
        <v>125.95936106133922</v>
      </c>
      <c r="M25" s="99">
        <f>'Financial Data - New Segment'!M26/'Financial Data - New - USD'!M$12</f>
        <v>180.05018045187126</v>
      </c>
    </row>
    <row r="26" spans="1:13" ht="15" customHeight="1" outlineLevel="1" x14ac:dyDescent="0.2">
      <c r="B26" s="39" t="s">
        <v>129</v>
      </c>
      <c r="C26" s="107">
        <f>'Financial Data - New Segment'!C27/'Financial Data - New - USD'!C$12</f>
        <v>-35.456562680639244</v>
      </c>
      <c r="D26" s="107">
        <f>'Financial Data - New Segment'!D27/'Financial Data - New - USD'!D$12</f>
        <v>-50.04964677829777</v>
      </c>
      <c r="E26" s="107">
        <f>'Financial Data - New Segment'!E27/'Financial Data - New - USD'!E$12</f>
        <v>-63.463559231779477</v>
      </c>
      <c r="F26" s="107">
        <f>'Financial Data - New Segment'!F27/'Financial Data - New - USD'!F$12</f>
        <v>-63.857384680491037</v>
      </c>
      <c r="G26" s="107">
        <f>'Financial Data - New Segment'!G27/'Financial Data - New - USD'!G$12</f>
        <v>-5.1471577945207816</v>
      </c>
      <c r="H26" s="107">
        <f>'Financial Data - New Segment'!H27/'Financial Data - New - USD'!H$12</f>
        <v>-18.239328915048436</v>
      </c>
      <c r="I26" s="107">
        <f>'Financial Data - New Segment'!I27/'Financial Data - New - USD'!I$12</f>
        <v>-30.410771201334573</v>
      </c>
      <c r="J26" s="107">
        <f>'Financial Data - New Segment'!J27/'Financial Data - New - USD'!J$12</f>
        <v>-42.389696433161092</v>
      </c>
      <c r="K26" s="107">
        <f>'Financial Data - New Segment'!K27/'Financial Data - New - USD'!K$12</f>
        <v>-15.866928920238742</v>
      </c>
      <c r="L26" s="107">
        <f>'Financial Data - New Segment'!L27/'Financial Data - New - USD'!L$12</f>
        <v>-33.830836287852691</v>
      </c>
      <c r="M26" s="107">
        <f>'Financial Data - New Segment'!M27/'Financial Data - New - USD'!M$12</f>
        <v>-31.83628318584071</v>
      </c>
    </row>
    <row r="27" spans="1:13" ht="15" customHeight="1" outlineLevel="1" x14ac:dyDescent="0.2">
      <c r="B27" s="52" t="s">
        <v>127</v>
      </c>
      <c r="C27" s="53">
        <f>'Financial Data - New Segment'!C28/'Financial Data - New - USD'!C$12</f>
        <v>145.61244848869097</v>
      </c>
      <c r="D27" s="53">
        <f>'Financial Data - New Segment'!D28/'Financial Data - New - USD'!D$12</f>
        <v>209.86191433706423</v>
      </c>
      <c r="E27" s="53">
        <f>'Financial Data - New Segment'!E28/'Financial Data - New - USD'!E$12</f>
        <v>254.95207497603693</v>
      </c>
      <c r="F27" s="53">
        <f>'Financial Data - New Segment'!F28/'Financial Data - New - USD'!F$12</f>
        <v>249.48141486810601</v>
      </c>
      <c r="G27" s="53">
        <f>'Financial Data - New Segment'!G28/'Financial Data - New - USD'!G$12</f>
        <v>7.6096912394740865</v>
      </c>
      <c r="H27" s="53">
        <f>'Financial Data - New Segment'!H28/'Financial Data - New - USD'!H$12</f>
        <v>21.847646413619444</v>
      </c>
      <c r="I27" s="53">
        <f>'Financial Data - New Segment'!I28/'Financial Data - New - USD'!I$12</f>
        <v>19.058115635518806</v>
      </c>
      <c r="J27" s="53">
        <f>'Financial Data - New Segment'!J28/'Financial Data - New - USD'!J$12</f>
        <v>-9.6236113887540444</v>
      </c>
      <c r="K27" s="53">
        <f>'Financial Data - New Segment'!K28/'Financial Data - New - USD'!K$12</f>
        <v>55.531470428648937</v>
      </c>
      <c r="L27" s="53">
        <f>'Financial Data - New Segment'!L28/'Financial Data - New - USD'!L$12</f>
        <v>92.128524773486532</v>
      </c>
      <c r="M27" s="53">
        <f>'Financial Data - New Segment'!M28/'Financial Data - New - USD'!M$12</f>
        <v>148.21389726603056</v>
      </c>
    </row>
    <row r="28" spans="1:13" ht="15" customHeight="1" outlineLevel="1" x14ac:dyDescent="0.25">
      <c r="A28" s="75" t="s">
        <v>79</v>
      </c>
      <c r="B28" s="54" t="s">
        <v>124</v>
      </c>
      <c r="C28" s="55">
        <f>C27/C17</f>
        <v>0.17022533950026572</v>
      </c>
      <c r="D28" s="55">
        <f t="shared" ref="D28:J28" si="9">D27/D17</f>
        <v>0.14199104417916794</v>
      </c>
      <c r="E28" s="55">
        <f t="shared" si="9"/>
        <v>0.12714636824627118</v>
      </c>
      <c r="F28" s="55">
        <f t="shared" si="9"/>
        <v>9.6885893473513007E-2</v>
      </c>
      <c r="G28" s="55">
        <f t="shared" si="9"/>
        <v>1.5340807560706039E-2</v>
      </c>
      <c r="H28" s="55">
        <f t="shared" si="9"/>
        <v>2.4896718457516769E-2</v>
      </c>
      <c r="I28" s="55">
        <f t="shared" si="9"/>
        <v>1.5281382365600027E-2</v>
      </c>
      <c r="J28" s="55">
        <f t="shared" si="9"/>
        <v>-5.7458883070175479E-3</v>
      </c>
      <c r="K28" s="55">
        <f t="shared" ref="K28:L28" si="10">K27/K17</f>
        <v>0.10799846250888054</v>
      </c>
      <c r="L28" s="55">
        <f t="shared" si="10"/>
        <v>9.7686841898893775E-2</v>
      </c>
      <c r="M28" s="55">
        <f t="shared" ref="M28" si="11">M27/M17</f>
        <v>0.10881372191749397</v>
      </c>
    </row>
    <row r="31" spans="1:13" ht="20.100000000000001" customHeight="1" outlineLevel="1" x14ac:dyDescent="0.2">
      <c r="B31" s="34" t="s">
        <v>131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outlineLevel="1" x14ac:dyDescent="0.2">
      <c r="B32" s="33" t="s">
        <v>121</v>
      </c>
      <c r="C32" s="37" t="s">
        <v>186</v>
      </c>
      <c r="D32" s="37" t="s">
        <v>189</v>
      </c>
      <c r="E32" s="37" t="s">
        <v>193</v>
      </c>
      <c r="F32" s="37" t="s">
        <v>194</v>
      </c>
      <c r="G32" s="37" t="s">
        <v>196</v>
      </c>
      <c r="H32" s="37" t="s">
        <v>220</v>
      </c>
      <c r="I32" s="37" t="s">
        <v>221</v>
      </c>
      <c r="J32" s="37" t="s">
        <v>226</v>
      </c>
      <c r="K32" s="37" t="s">
        <v>236</v>
      </c>
      <c r="L32" s="37" t="s">
        <v>237</v>
      </c>
      <c r="M32" s="37" t="s">
        <v>241</v>
      </c>
    </row>
    <row r="33" spans="1:13" ht="15" customHeight="1" outlineLevel="1" x14ac:dyDescent="0.2">
      <c r="B33" s="10" t="s">
        <v>122</v>
      </c>
      <c r="C33" s="43">
        <f>+C17</f>
        <v>855.40994611124665</v>
      </c>
      <c r="D33" s="43">
        <f t="shared" ref="D33:M34" si="12">+D17-C17</f>
        <v>622.5840749219044</v>
      </c>
      <c r="E33" s="43">
        <f t="shared" si="12"/>
        <v>527.19164405967717</v>
      </c>
      <c r="F33" s="43">
        <f t="shared" si="12"/>
        <v>569.81680352052149</v>
      </c>
      <c r="G33" s="43">
        <f>+G17</f>
        <v>496.04241558740091</v>
      </c>
      <c r="H33" s="43">
        <f t="shared" si="12"/>
        <v>381.48875185941756</v>
      </c>
      <c r="I33" s="43">
        <f t="shared" si="12"/>
        <v>369.61488122614696</v>
      </c>
      <c r="J33" s="43">
        <f t="shared" si="12"/>
        <v>427.72315771250669</v>
      </c>
      <c r="K33" s="43">
        <f>+K17</f>
        <v>514.18760173629948</v>
      </c>
      <c r="L33" s="43">
        <f t="shared" si="12"/>
        <v>428.91305524716483</v>
      </c>
      <c r="M33" s="43">
        <f t="shared" si="12"/>
        <v>418.98764083628168</v>
      </c>
    </row>
    <row r="34" spans="1:13" ht="15" customHeight="1" outlineLevel="1" x14ac:dyDescent="0.2">
      <c r="B34" s="40" t="s">
        <v>123</v>
      </c>
      <c r="C34" s="4">
        <f>+C18</f>
        <v>198.34268772492516</v>
      </c>
      <c r="D34" s="4">
        <f t="shared" si="12"/>
        <v>92.241685106364741</v>
      </c>
      <c r="E34" s="4">
        <f t="shared" si="12"/>
        <v>90.607895264843364</v>
      </c>
      <c r="F34" s="4">
        <f t="shared" si="12"/>
        <v>42.274017698761099</v>
      </c>
      <c r="G34" s="4">
        <f>+G18</f>
        <v>40.048259220958357</v>
      </c>
      <c r="H34" s="4">
        <f t="shared" si="12"/>
        <v>52.565944174632648</v>
      </c>
      <c r="I34" s="4">
        <f t="shared" si="12"/>
        <v>14.215798689542311</v>
      </c>
      <c r="J34" s="4">
        <f t="shared" si="12"/>
        <v>23.677608504009271</v>
      </c>
      <c r="K34" s="4">
        <f>+K18</f>
        <v>88.219207813347793</v>
      </c>
      <c r="L34" s="4">
        <f t="shared" si="12"/>
        <v>51.145030428935058</v>
      </c>
      <c r="M34" s="4">
        <f t="shared" si="12"/>
        <v>50.738594604901607</v>
      </c>
    </row>
    <row r="35" spans="1:13" ht="15" customHeight="1" outlineLevel="1" x14ac:dyDescent="0.2">
      <c r="B35" s="24" t="s">
        <v>124</v>
      </c>
      <c r="C35" s="44">
        <f t="shared" ref="C35:J35" si="13">+C34/C33</f>
        <v>0.23186857789835724</v>
      </c>
      <c r="D35" s="44">
        <f t="shared" si="13"/>
        <v>0.14815940339934866</v>
      </c>
      <c r="E35" s="44">
        <f t="shared" si="13"/>
        <v>0.17186898974177731</v>
      </c>
      <c r="F35" s="97">
        <f t="shared" si="13"/>
        <v>7.4188787409528612E-2</v>
      </c>
      <c r="G35" s="44">
        <f t="shared" si="13"/>
        <v>8.0735553981879191E-2</v>
      </c>
      <c r="H35" s="44">
        <f t="shared" si="13"/>
        <v>0.13779159652393558</v>
      </c>
      <c r="I35" s="44">
        <f t="shared" si="13"/>
        <v>3.8461110230149115E-2</v>
      </c>
      <c r="J35" s="44">
        <f t="shared" si="13"/>
        <v>5.5357321849578534E-2</v>
      </c>
      <c r="K35" s="44">
        <f t="shared" ref="K35:L35" si="14">+K34/K33</f>
        <v>0.17157007970524912</v>
      </c>
      <c r="L35" s="44">
        <f t="shared" si="14"/>
        <v>0.11924335201096245</v>
      </c>
      <c r="M35" s="44">
        <f t="shared" ref="M35" si="15">+M34/M33</f>
        <v>0.12109806987058021</v>
      </c>
    </row>
    <row r="36" spans="1:13" ht="15" customHeight="1" outlineLevel="1" x14ac:dyDescent="0.2">
      <c r="B36" s="40" t="s">
        <v>125</v>
      </c>
      <c r="C36" s="98">
        <f>+C20</f>
        <v>158.75440526580783</v>
      </c>
      <c r="D36" s="98">
        <f>+D20-C20</f>
        <v>69.636612048283638</v>
      </c>
      <c r="E36" s="98">
        <f>+E20-D20</f>
        <v>56.783110272971726</v>
      </c>
      <c r="F36" s="98">
        <f>+F20-E20</f>
        <v>-2.4489547841284889</v>
      </c>
      <c r="G36" s="98">
        <f>+G20</f>
        <v>-5.2989937788283275</v>
      </c>
      <c r="H36" s="98">
        <f>+H20-G20</f>
        <v>15.833050104236557</v>
      </c>
      <c r="I36" s="98">
        <f>+I20-H20</f>
        <v>-21.796306481793238</v>
      </c>
      <c r="J36" s="98">
        <f>+J20-I20</f>
        <v>11.40675139863877</v>
      </c>
      <c r="K36" s="98">
        <f>+K20</f>
        <v>41.587221920781339</v>
      </c>
      <c r="L36" s="98">
        <f>+L20-K20</f>
        <v>18.632873894602298</v>
      </c>
      <c r="M36" s="98">
        <f>+M20-L20</f>
        <v>31.08249478134352</v>
      </c>
    </row>
    <row r="37" spans="1:13" ht="15" customHeight="1" outlineLevel="1" x14ac:dyDescent="0.2">
      <c r="B37" s="24" t="s">
        <v>124</v>
      </c>
      <c r="C37" s="44">
        <f t="shared" ref="C37:J37" si="16">+C36/C33</f>
        <v>0.18558868293210343</v>
      </c>
      <c r="D37" s="44">
        <f t="shared" si="16"/>
        <v>0.11185093685060721</v>
      </c>
      <c r="E37" s="44">
        <f t="shared" si="16"/>
        <v>0.10770866896847853</v>
      </c>
      <c r="F37" s="97">
        <f t="shared" si="16"/>
        <v>-4.2977932012499727E-3</v>
      </c>
      <c r="G37" s="44">
        <f t="shared" si="16"/>
        <v>-1.0682541678524391E-2</v>
      </c>
      <c r="H37" s="44">
        <f t="shared" si="16"/>
        <v>4.1503320942136705E-2</v>
      </c>
      <c r="I37" s="44">
        <f t="shared" si="16"/>
        <v>-5.8970316372238485E-2</v>
      </c>
      <c r="J37" s="44">
        <f t="shared" si="16"/>
        <v>2.6668538265832677E-2</v>
      </c>
      <c r="K37" s="44">
        <f t="shared" ref="K37:L37" si="17">+K36/K33</f>
        <v>8.0879472356685286E-2</v>
      </c>
      <c r="L37" s="44">
        <f t="shared" si="17"/>
        <v>4.3442076818727152E-2</v>
      </c>
      <c r="M37" s="44">
        <f t="shared" ref="M37" si="18">+M36/M33</f>
        <v>7.4184753324236893E-2</v>
      </c>
    </row>
    <row r="38" spans="1:13" ht="15" customHeight="1" outlineLevel="1" x14ac:dyDescent="0.2">
      <c r="B38" s="40" t="s">
        <v>126</v>
      </c>
      <c r="C38" s="4">
        <f>+C22</f>
        <v>175.76982602696319</v>
      </c>
      <c r="D38" s="4">
        <f>+D22-C22</f>
        <v>72.883660813971346</v>
      </c>
      <c r="E38" s="4">
        <f>+E22-D22</f>
        <v>70.703075337345865</v>
      </c>
      <c r="F38" s="4">
        <f>+F22-E22</f>
        <v>19.380918425472601</v>
      </c>
      <c r="G38" s="4">
        <f>+G22</f>
        <v>20.295792912132139</v>
      </c>
      <c r="H38" s="4">
        <f>+H22-G22</f>
        <v>33.600176561535818</v>
      </c>
      <c r="I38" s="4">
        <f>+I22-H22</f>
        <v>2.2295555330344214</v>
      </c>
      <c r="J38" s="4">
        <f>+J22-I22</f>
        <v>9.3786586755091932</v>
      </c>
      <c r="K38" s="4">
        <f>+K22</f>
        <v>70.01193705914271</v>
      </c>
      <c r="L38" s="4">
        <f>+L22-K22</f>
        <v>35.023072408026835</v>
      </c>
      <c r="M38" s="4">
        <f>+M22-L22</f>
        <v>45.335411257604278</v>
      </c>
    </row>
    <row r="39" spans="1:13" ht="15" customHeight="1" outlineLevel="1" x14ac:dyDescent="0.2">
      <c r="B39" s="24" t="s">
        <v>124</v>
      </c>
      <c r="C39" s="44">
        <f t="shared" ref="C39:J39" si="19">+C38/C33</f>
        <v>0.20548022246646194</v>
      </c>
      <c r="D39" s="44">
        <f t="shared" si="19"/>
        <v>0.11706637504840404</v>
      </c>
      <c r="E39" s="44">
        <f t="shared" si="19"/>
        <v>0.13411266307806349</v>
      </c>
      <c r="F39" s="97">
        <f t="shared" si="19"/>
        <v>3.4012542813287909E-2</v>
      </c>
      <c r="G39" s="44">
        <f t="shared" si="19"/>
        <v>4.0915438426970756E-2</v>
      </c>
      <c r="H39" s="44">
        <f t="shared" si="19"/>
        <v>8.8076454149080177E-2</v>
      </c>
      <c r="I39" s="44">
        <f t="shared" si="19"/>
        <v>6.0321043504476196E-3</v>
      </c>
      <c r="J39" s="44">
        <f t="shared" si="19"/>
        <v>2.192693686651645E-2</v>
      </c>
      <c r="K39" s="44">
        <f t="shared" ref="K39:L39" si="20">+K38/K33</f>
        <v>0.13616029795881435</v>
      </c>
      <c r="L39" s="44">
        <f t="shared" si="20"/>
        <v>8.1655412395513327E-2</v>
      </c>
      <c r="M39" s="44">
        <f t="shared" ref="M39" si="21">+M38/M33</f>
        <v>0.10820226383555541</v>
      </c>
    </row>
    <row r="40" spans="1:13" ht="15" customHeight="1" outlineLevel="1" x14ac:dyDescent="0.2">
      <c r="B40" s="39" t="s">
        <v>128</v>
      </c>
      <c r="C40" s="87">
        <f>+C24</f>
        <v>20.446773201066609</v>
      </c>
      <c r="D40" s="87">
        <f t="shared" ref="D40:M43" si="22">+D24-C24</f>
        <v>9.4624746235503636</v>
      </c>
      <c r="E40" s="87">
        <f t="shared" si="22"/>
        <v>-0.14869544434084503</v>
      </c>
      <c r="F40" s="87">
        <f t="shared" si="22"/>
        <v>10.956403466811</v>
      </c>
      <c r="G40" s="87">
        <f>+G24</f>
        <v>15.078544344314794</v>
      </c>
      <c r="H40" s="87">
        <f t="shared" si="22"/>
        <v>9.3978271005879659</v>
      </c>
      <c r="I40" s="87">
        <f t="shared" si="22"/>
        <v>31.183126335920136</v>
      </c>
      <c r="J40" s="87">
        <f t="shared" si="22"/>
        <v>-23.575510003457595</v>
      </c>
      <c r="K40" s="87">
        <f>+K24</f>
        <v>29.721513836136729</v>
      </c>
      <c r="L40" s="87">
        <f t="shared" si="22"/>
        <v>5.7292886494717905</v>
      </c>
      <c r="M40" s="87">
        <f t="shared" si="22"/>
        <v>6.0769821586788169</v>
      </c>
    </row>
    <row r="41" spans="1:13" ht="15" customHeight="1" outlineLevel="1" x14ac:dyDescent="0.2">
      <c r="B41" s="84" t="s">
        <v>188</v>
      </c>
      <c r="C41" s="100">
        <f>+C25</f>
        <v>181.0690111693302</v>
      </c>
      <c r="D41" s="100">
        <f t="shared" si="22"/>
        <v>78.842549946031824</v>
      </c>
      <c r="E41" s="100">
        <f t="shared" si="22"/>
        <v>58.504073092454405</v>
      </c>
      <c r="F41" s="100">
        <f t="shared" si="22"/>
        <v>-5.0768346592193438</v>
      </c>
      <c r="G41" s="100">
        <f>+G25</f>
        <v>12.756849033994866</v>
      </c>
      <c r="H41" s="100">
        <f t="shared" si="22"/>
        <v>27.330126294673015</v>
      </c>
      <c r="I41" s="100">
        <f t="shared" si="22"/>
        <v>9.381911508185496</v>
      </c>
      <c r="J41" s="100">
        <f t="shared" si="22"/>
        <v>-16.702801792446337</v>
      </c>
      <c r="K41" s="100">
        <f>+K25</f>
        <v>71.398399348887693</v>
      </c>
      <c r="L41" s="100">
        <f t="shared" si="22"/>
        <v>54.56096171245153</v>
      </c>
      <c r="M41" s="100">
        <f t="shared" si="22"/>
        <v>54.090819390532033</v>
      </c>
    </row>
    <row r="42" spans="1:13" ht="15" customHeight="1" outlineLevel="1" x14ac:dyDescent="0.2">
      <c r="B42" s="39" t="s">
        <v>129</v>
      </c>
      <c r="C42" s="87">
        <f>+C26</f>
        <v>-35.456562680639244</v>
      </c>
      <c r="D42" s="87">
        <f t="shared" si="22"/>
        <v>-14.593084097658526</v>
      </c>
      <c r="E42" s="87">
        <f t="shared" si="22"/>
        <v>-13.413912453481707</v>
      </c>
      <c r="F42" s="87">
        <f t="shared" si="22"/>
        <v>-0.39382544871156</v>
      </c>
      <c r="G42" s="87">
        <f>+G26</f>
        <v>-5.1471577945207816</v>
      </c>
      <c r="H42" s="87">
        <f t="shared" si="22"/>
        <v>-13.092171120527654</v>
      </c>
      <c r="I42" s="87">
        <f t="shared" si="22"/>
        <v>-12.171442286286137</v>
      </c>
      <c r="J42" s="87">
        <f t="shared" si="22"/>
        <v>-11.978925231826519</v>
      </c>
      <c r="K42" s="87">
        <f>+K26</f>
        <v>-15.866928920238742</v>
      </c>
      <c r="L42" s="87">
        <f t="shared" si="22"/>
        <v>-17.963907367613949</v>
      </c>
      <c r="M42" s="87">
        <f t="shared" si="22"/>
        <v>1.9945531020119809</v>
      </c>
    </row>
    <row r="43" spans="1:13" ht="15" customHeight="1" outlineLevel="1" x14ac:dyDescent="0.2">
      <c r="B43" s="52" t="s">
        <v>127</v>
      </c>
      <c r="C43" s="53">
        <f>+C27</f>
        <v>145.61244848869097</v>
      </c>
      <c r="D43" s="53">
        <f t="shared" si="22"/>
        <v>64.249465848373262</v>
      </c>
      <c r="E43" s="53">
        <f t="shared" si="22"/>
        <v>45.090160638972691</v>
      </c>
      <c r="F43" s="53">
        <f t="shared" si="22"/>
        <v>-5.470660107930911</v>
      </c>
      <c r="G43" s="53">
        <f>+G27</f>
        <v>7.6096912394740865</v>
      </c>
      <c r="H43" s="53">
        <f t="shared" si="22"/>
        <v>14.237955174145357</v>
      </c>
      <c r="I43" s="53">
        <f t="shared" si="22"/>
        <v>-2.7895307781006373</v>
      </c>
      <c r="J43" s="53">
        <f t="shared" si="22"/>
        <v>-28.681727024272853</v>
      </c>
      <c r="K43" s="53">
        <f>+K27</f>
        <v>55.531470428648937</v>
      </c>
      <c r="L43" s="53">
        <f t="shared" si="22"/>
        <v>36.597054344837595</v>
      </c>
      <c r="M43" s="53">
        <f t="shared" si="22"/>
        <v>56.085372492544025</v>
      </c>
    </row>
    <row r="44" spans="1:13" ht="15" customHeight="1" outlineLevel="1" x14ac:dyDescent="0.25">
      <c r="A44" s="75" t="s">
        <v>79</v>
      </c>
      <c r="B44" s="54" t="s">
        <v>124</v>
      </c>
      <c r="C44" s="55">
        <f t="shared" ref="C44:J44" si="23">+C43/C33</f>
        <v>0.17022533950026572</v>
      </c>
      <c r="D44" s="55">
        <f t="shared" si="23"/>
        <v>0.10319805538943889</v>
      </c>
      <c r="E44" s="55">
        <f t="shared" si="23"/>
        <v>8.5528974419534928E-2</v>
      </c>
      <c r="F44" s="55">
        <f t="shared" si="23"/>
        <v>-9.6007349627657817E-3</v>
      </c>
      <c r="G44" s="55">
        <f t="shared" si="23"/>
        <v>1.5340807560706039E-2</v>
      </c>
      <c r="H44" s="55">
        <f t="shared" si="23"/>
        <v>3.7322083822256935E-2</v>
      </c>
      <c r="I44" s="55">
        <f t="shared" si="23"/>
        <v>-7.5471278884842227E-3</v>
      </c>
      <c r="J44" s="55">
        <f t="shared" si="23"/>
        <v>-6.7056755069481694E-2</v>
      </c>
      <c r="K44" s="55">
        <f t="shared" ref="K44:L44" si="24">+K43/K33</f>
        <v>0.10799846250888054</v>
      </c>
      <c r="L44" s="55">
        <f t="shared" si="24"/>
        <v>8.5325111691338537E-2</v>
      </c>
      <c r="M44" s="55">
        <f t="shared" ref="M44" si="25">+M43/M33</f>
        <v>0.13385925269919652</v>
      </c>
    </row>
    <row r="47" spans="1:13" ht="20.100000000000001" customHeight="1" outlineLevel="1" x14ac:dyDescent="0.2">
      <c r="B47" s="34" t="s">
        <v>162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outlineLevel="1" x14ac:dyDescent="0.2">
      <c r="B48" s="36" t="s">
        <v>132</v>
      </c>
      <c r="C48" s="37" t="s">
        <v>187</v>
      </c>
      <c r="D48" s="37" t="s">
        <v>190</v>
      </c>
      <c r="E48" s="37" t="s">
        <v>192</v>
      </c>
      <c r="F48" s="37">
        <v>2019</v>
      </c>
      <c r="G48" s="37" t="s">
        <v>197</v>
      </c>
      <c r="H48" s="37" t="s">
        <v>216</v>
      </c>
      <c r="I48" s="37" t="s">
        <v>222</v>
      </c>
      <c r="J48" s="37">
        <v>2020</v>
      </c>
      <c r="K48" s="37" t="s">
        <v>235</v>
      </c>
      <c r="L48" s="37" t="s">
        <v>238</v>
      </c>
      <c r="M48" s="37" t="s">
        <v>242</v>
      </c>
    </row>
    <row r="49" spans="2:13" ht="15" customHeight="1" outlineLevel="1" x14ac:dyDescent="0.2">
      <c r="B49" s="48" t="s">
        <v>201</v>
      </c>
      <c r="C49" s="3">
        <f>'Financial Data - New Segment'!C50/'Financial Data - New - USD'!C$12</f>
        <v>619.97930224318998</v>
      </c>
      <c r="D49" s="3">
        <f>'Financial Data - New Segment'!D50/'Financial Data - New - USD'!D$12</f>
        <v>1061.6769578447245</v>
      </c>
      <c r="E49" s="3">
        <f>'Financial Data - New Segment'!E50/'Financial Data - New - USD'!E$12</f>
        <v>1459.136462068228</v>
      </c>
      <c r="F49" s="3">
        <f>'Financial Data - New Segment'!F50/'Financial Data - New - USD'!F$12</f>
        <v>1858.2476371843741</v>
      </c>
      <c r="G49" s="3">
        <f>'Financial Data - New Segment'!G50/'Financial Data - New - USD'!G$12</f>
        <v>293.36041758999409</v>
      </c>
      <c r="H49" s="3">
        <f>'Financial Data - New Segment'!H50/'Financial Data - New - USD'!H$12</f>
        <v>557.42380003398694</v>
      </c>
      <c r="I49" s="3">
        <f>'Financial Data - New Segment'!I50/'Financial Data - New - USD'!I$12</f>
        <v>753.04920913884223</v>
      </c>
      <c r="J49" s="3">
        <f>'Financial Data - New Segment'!J50/'Financial Data - New - USD'!J$12</f>
        <v>1014.8652083273851</v>
      </c>
      <c r="K49" s="3">
        <f>'Financial Data - New Segment'!K50/'Financial Data - New - USD'!K$12</f>
        <v>284.18244709712422</v>
      </c>
      <c r="L49" s="3">
        <f>'Financial Data - New Segment'!L50/'Financial Data - New - USD'!L$12</f>
        <v>509.53019963656072</v>
      </c>
      <c r="M49" s="3">
        <f>'Financial Data - New Segment'!M50/'Financial Data - New - USD'!M$12</f>
        <v>738.94497453898259</v>
      </c>
    </row>
    <row r="50" spans="2:13" ht="15" customHeight="1" outlineLevel="1" x14ac:dyDescent="0.2">
      <c r="B50" s="101" t="s">
        <v>202</v>
      </c>
      <c r="C50" s="3">
        <f>'Financial Data - New Segment'!C51/'Financial Data - New - USD'!C$12</f>
        <v>218.42454642078002</v>
      </c>
      <c r="D50" s="3">
        <f>'Financial Data - New Segment'!D51/'Financial Data - New - USD'!D$12</f>
        <v>366.77562859227351</v>
      </c>
      <c r="E50" s="3">
        <f>'Financial Data - New Segment'!E51/'Financial Data - New - USD'!E$12</f>
        <v>467.32223366111583</v>
      </c>
      <c r="F50" s="3">
        <f>'Financial Data - New Segment'!F51/'Financial Data - New - USD'!F$12</f>
        <v>606.47252786006618</v>
      </c>
      <c r="G50" s="3">
        <f>'Financial Data - New Segment'!G51/'Financial Data - New - USD'!G$12</f>
        <v>182.9503783588585</v>
      </c>
      <c r="H50" s="3">
        <f>'Financial Data - New Segment'!H51/'Financial Data - New - USD'!H$12</f>
        <v>274.43620521851977</v>
      </c>
      <c r="I50" s="3">
        <f>'Financial Data - New Segment'!I51/'Financial Data - New - USD'!I$12</f>
        <v>415.82884036817615</v>
      </c>
      <c r="J50" s="3">
        <f>'Financial Data - New Segment'!J51/'Financial Data - New - USD'!J$12</f>
        <v>555.13136476568593</v>
      </c>
      <c r="K50" s="3">
        <f>'Financial Data - New Segment'!K51/'Financial Data - New - USD'!K$12</f>
        <v>211.70550732501357</v>
      </c>
      <c r="L50" s="3">
        <f>'Financial Data - New Segment'!L51/'Financial Data - New - USD'!L$12</f>
        <v>391.94401026774807</v>
      </c>
      <c r="M50" s="3">
        <f>'Financial Data - New Segment'!M51/'Financial Data - New - USD'!M$12</f>
        <v>554.31403569486338</v>
      </c>
    </row>
    <row r="51" spans="2:13" ht="15" customHeight="1" outlineLevel="1" x14ac:dyDescent="0.2">
      <c r="B51" s="101" t="s">
        <v>203</v>
      </c>
      <c r="C51" s="3">
        <f>'Financial Data - New Segment'!C52/'Financial Data - New - USD'!C$12</f>
        <v>0.80311025750993026</v>
      </c>
      <c r="D51" s="3">
        <f>'Financial Data - New Segment'!D52/'Financial Data - New - USD'!D$12</f>
        <v>14.308059149064894</v>
      </c>
      <c r="E51" s="3">
        <f>'Financial Data - New Segment'!E52/'Financial Data - New - USD'!E$12</f>
        <v>25.966487983243933</v>
      </c>
      <c r="F51" s="3">
        <f>'Financial Data - New Segment'!F52/'Financial Data - New - USD'!F$12</f>
        <v>36.258816476230855</v>
      </c>
      <c r="G51" s="3">
        <f>'Financial Data - New Segment'!G52/'Financial Data - New - USD'!G$12</f>
        <v>1.843535070008703</v>
      </c>
      <c r="H51" s="3">
        <f>'Financial Data - New Segment'!H52/'Financial Data - New - USD'!H$12</f>
        <v>9.0624275849283968</v>
      </c>
      <c r="I51" s="3">
        <f>'Financial Data - New Segment'!I52/'Financial Data - New - USD'!I$12</f>
        <v>19.649399779571713</v>
      </c>
      <c r="J51" s="3">
        <f>'Financial Data - New Segment'!J52/'Financial Data - New - USD'!J$12</f>
        <v>28.641659765256911</v>
      </c>
      <c r="K51" s="3">
        <f>'Financial Data - New Segment'!K52/'Financial Data - New - USD'!K$12</f>
        <v>0.7132392837764514</v>
      </c>
      <c r="L51" s="3">
        <f>'Financial Data - New Segment'!L52/'Financial Data - New - USD'!L$12</f>
        <v>7.3937961445109233</v>
      </c>
      <c r="M51" s="3">
        <f>'Financial Data - New Segment'!M52/'Financial Data - New - USD'!M$12</f>
        <v>13.5269689029515</v>
      </c>
    </row>
    <row r="52" spans="2:13" ht="15" customHeight="1" outlineLevel="1" x14ac:dyDescent="0.2">
      <c r="B52" s="101" t="s">
        <v>212</v>
      </c>
      <c r="C52" s="3">
        <f>'Financial Data - New Segment'!C53/'Financial Data - New - USD'!C$12</f>
        <v>14.265416099498422</v>
      </c>
      <c r="D52" s="3">
        <f>'Financial Data - New Segment'!D53/'Financial Data - New - USD'!D$12</f>
        <v>31.525882164528351</v>
      </c>
      <c r="E52" s="3">
        <f>'Financial Data - New Segment'!E53/'Financial Data - New - USD'!E$12</f>
        <v>47.159288579644183</v>
      </c>
      <c r="F52" s="3">
        <f>'Financial Data - New Segment'!F53/'Financial Data - New - USD'!F$12</f>
        <v>66.555402736634363</v>
      </c>
      <c r="G52" s="3">
        <f>'Financial Data - New Segment'!G53/'Financial Data - New - USD'!G$12</f>
        <v>16.024195269283197</v>
      </c>
      <c r="H52" s="3">
        <f>'Financial Data - New Segment'!H53/'Financial Data - New - USD'!H$12</f>
        <v>32.989448641300157</v>
      </c>
      <c r="I52" s="3">
        <f>'Financial Data - New Segment'!I53/'Financial Data - New - USD'!I$12</f>
        <v>53.297042089899172</v>
      </c>
      <c r="J52" s="3">
        <f>'Financial Data - New Segment'!J53/'Financial Data - New - USD'!J$12</f>
        <v>69.429705571579603</v>
      </c>
      <c r="K52" s="3">
        <f>'Financial Data - New Segment'!K53/'Financial Data - New - USD'!K$12</f>
        <v>16.030385241454152</v>
      </c>
      <c r="L52" s="3">
        <f>'Financial Data - New Segment'!L53/'Financial Data - New - USD'!L$12</f>
        <v>31.23009670491647</v>
      </c>
      <c r="M52" s="3">
        <f>'Financial Data - New Segment'!M53/'Financial Data - New - USD'!M$12</f>
        <v>47.902679586691065</v>
      </c>
    </row>
    <row r="53" spans="2:13" ht="15" customHeight="1" outlineLevel="1" x14ac:dyDescent="0.2">
      <c r="B53" s="101" t="s">
        <v>213</v>
      </c>
      <c r="C53" s="3">
        <f>'Financial Data - New Segment'!C54/'Financial Data - New - USD'!C$12</f>
        <v>1.937571090268327</v>
      </c>
      <c r="D53" s="3">
        <f>'Financial Data - New Segment'!D54/'Financial Data - New - USD'!D$12</f>
        <v>3.7074932825595668</v>
      </c>
      <c r="E53" s="3">
        <f>'Financial Data - New Segment'!E54/'Financial Data - New - USD'!E$12</f>
        <v>5.6011928005963885</v>
      </c>
      <c r="F53" s="3">
        <f>'Financial Data - New Segment'!F54/'Financial Data - New - USD'!F$12</f>
        <v>7.4680843560445922</v>
      </c>
      <c r="G53" s="3">
        <f>'Financial Data - New Segment'!G54/'Financial Data - New - USD'!G$12</f>
        <v>1.8638892992564173</v>
      </c>
      <c r="H53" s="3">
        <f>'Financial Data - New Segment'!H54/'Financial Data - New - USD'!H$12</f>
        <v>3.6192859680832994</v>
      </c>
      <c r="I53" s="3">
        <f>'Financial Data - New Segment'!I54/'Financial Data - New - USD'!I$12</f>
        <v>5.32155729647614</v>
      </c>
      <c r="J53" s="3">
        <f>'Financial Data - New Segment'!J54/'Financial Data - New - USD'!J$12</f>
        <v>6.8012679555644482</v>
      </c>
      <c r="K53" s="3">
        <f>'Financial Data - New Segment'!K54/'Financial Data - New - USD'!K$12</f>
        <v>1.5560227889310907</v>
      </c>
      <c r="L53" s="3">
        <f>'Financial Data - New Segment'!L54/'Financial Data - New - USD'!L$12</f>
        <v>3.0025542297281742</v>
      </c>
      <c r="M53" s="3">
        <f>'Financial Data - New Segment'!M54/'Financial Data - New - USD'!M$12</f>
        <v>7.3996390962574781</v>
      </c>
    </row>
    <row r="54" spans="2:13" ht="15" customHeight="1" outlineLevel="1" x14ac:dyDescent="0.2">
      <c r="B54" s="49" t="s">
        <v>133</v>
      </c>
      <c r="C54" s="50">
        <f>SUM(C49:C53)</f>
        <v>855.40994611124665</v>
      </c>
      <c r="D54" s="50">
        <f t="shared" ref="D54:J54" si="26">SUM(D49:D53)</f>
        <v>1477.9940210331511</v>
      </c>
      <c r="E54" s="50">
        <f t="shared" si="26"/>
        <v>2005.1856650928285</v>
      </c>
      <c r="F54" s="50">
        <f t="shared" si="26"/>
        <v>2575.0024686133502</v>
      </c>
      <c r="G54" s="50">
        <f t="shared" si="26"/>
        <v>496.04241558740097</v>
      </c>
      <c r="H54" s="50">
        <f t="shared" si="26"/>
        <v>877.53116744681859</v>
      </c>
      <c r="I54" s="50">
        <f t="shared" si="26"/>
        <v>1247.1460486729654</v>
      </c>
      <c r="J54" s="50">
        <f t="shared" si="26"/>
        <v>1674.8692063854721</v>
      </c>
      <c r="K54" s="50">
        <f t="shared" ref="K54:L54" si="27">SUM(K49:K53)</f>
        <v>514.18760173629937</v>
      </c>
      <c r="L54" s="50">
        <f t="shared" si="27"/>
        <v>943.10065698346432</v>
      </c>
      <c r="M54" s="50">
        <f t="shared" ref="M54" si="28">SUM(M49:M53)</f>
        <v>1362.0882978197458</v>
      </c>
    </row>
    <row r="55" spans="2:13" ht="15" customHeight="1" outlineLevel="1" x14ac:dyDescent="0.2">
      <c r="B55" s="48" t="s">
        <v>201</v>
      </c>
      <c r="C55" s="3">
        <f>'Financial Data - New Segment'!C56/'Financial Data - New - USD'!C$12</f>
        <v>150.77197038915529</v>
      </c>
      <c r="D55" s="3">
        <f>'Financial Data - New Segment'!D56/'Financial Data - New - USD'!D$12</f>
        <v>192.7561969500151</v>
      </c>
      <c r="E55" s="3">
        <f>'Financial Data - New Segment'!E56/'Financial Data - New - USD'!E$12</f>
        <v>249.85924242962065</v>
      </c>
      <c r="F55" s="3">
        <f>'Financial Data - New Segment'!F56/'Financial Data - New - USD'!F$12</f>
        <v>255.92537734518319</v>
      </c>
      <c r="G55" s="3">
        <f>'Financial Data - New Segment'!G56/'Financial Data - New - USD'!G$12</f>
        <v>-7.58851627517606</v>
      </c>
      <c r="H55" s="3">
        <f>'Financial Data - New Segment'!H56/'Financial Data - New - USD'!H$12</f>
        <v>6.9096723362840073</v>
      </c>
      <c r="I55" s="3">
        <f>'Financial Data - New Segment'!I56/'Financial Data - New - USD'!I$12</f>
        <v>-24.624527121622901</v>
      </c>
      <c r="J55" s="3">
        <f>'Financial Data - New Segment'!J56/'Financial Data - New - USD'!J$12</f>
        <v>-49.108147471228321</v>
      </c>
      <c r="K55" s="3">
        <f>'Financial Data - New Segment'!K56/'Financial Data - New - USD'!K$12</f>
        <v>14.759495387954424</v>
      </c>
      <c r="L55" s="3">
        <f>'Financial Data - New Segment'!L56/'Financial Data - New - USD'!L$12</f>
        <v>19.906344909966514</v>
      </c>
      <c r="M55" s="3">
        <f>'Financial Data - New Segment'!M56/'Financial Data - New - USD'!M$12</f>
        <v>33.216616403816687</v>
      </c>
    </row>
    <row r="56" spans="2:13" ht="15" customHeight="1" outlineLevel="1" x14ac:dyDescent="0.2">
      <c r="B56" s="101" t="s">
        <v>202</v>
      </c>
      <c r="C56" s="3">
        <f>'Financial Data - New Segment'!C57/'Financial Data - New - USD'!C$12</f>
        <v>28.04173115292102</v>
      </c>
      <c r="D56" s="3">
        <f>'Financial Data - New Segment'!D57/'Financial Data - New - USD'!D$12</f>
        <v>56.030037190597355</v>
      </c>
      <c r="E56" s="3">
        <f>'Financial Data - New Segment'!E57/'Financial Data - New - USD'!E$12</f>
        <v>70.152827576413628</v>
      </c>
      <c r="F56" s="3">
        <f>'Financial Data - New Segment'!F57/'Financial Data - New - USD'!F$12</f>
        <v>80.683805896459475</v>
      </c>
      <c r="G56" s="3">
        <f>'Financial Data - New Segment'!G57/'Financial Data - New - USD'!G$12</f>
        <v>28.640042021634628</v>
      </c>
      <c r="H56" s="3">
        <f>'Financial Data - New Segment'!H57/'Financial Data - New - USD'!H$12</f>
        <v>43.393737158393975</v>
      </c>
      <c r="I56" s="3">
        <f>'Financial Data - New Segment'!I57/'Financial Data - New - USD'!I$12</f>
        <v>71.177802269816411</v>
      </c>
      <c r="J56" s="3">
        <f>'Financial Data - New Segment'!J57/'Financial Data - New - USD'!J$12</f>
        <v>105.05868578119212</v>
      </c>
      <c r="K56" s="3">
        <f>'Financial Data - New Segment'!K57/'Financial Data - New - USD'!K$12</f>
        <v>52.989283776451437</v>
      </c>
      <c r="L56" s="3">
        <f>'Financial Data - New Segment'!L57/'Financial Data - New - USD'!L$12</f>
        <v>89.437052850952142</v>
      </c>
      <c r="M56" s="3">
        <f>'Financial Data - New Segment'!M57/'Financial Data - New - USD'!M$12</f>
        <v>117.51594403520048</v>
      </c>
    </row>
    <row r="57" spans="2:13" ht="15" customHeight="1" outlineLevel="1" x14ac:dyDescent="0.2">
      <c r="B57" s="101" t="s">
        <v>203</v>
      </c>
      <c r="C57" s="3">
        <f>'Financial Data - New Segment'!C58/'Financial Data - New - USD'!C$12</f>
        <v>-0.5215461783736417</v>
      </c>
      <c r="D57" s="3">
        <f>'Financial Data - New Segment'!D58/'Financial Data - New - USD'!D$12</f>
        <v>0.98154705767211758</v>
      </c>
      <c r="E57" s="3">
        <f>'Financial Data - New Segment'!E58/'Financial Data - New - USD'!E$12</f>
        <v>-0.17483758741879332</v>
      </c>
      <c r="F57" s="3">
        <f>'Financial Data - New Segment'!F58/'Financial Data - New - USD'!F$12</f>
        <v>-1.3988221187755707</v>
      </c>
      <c r="G57" s="3">
        <f>'Financial Data - New Segment'!G58/'Financial Data - New - USD'!G$12</f>
        <v>-1.3011933487631544</v>
      </c>
      <c r="H57" s="3">
        <f>'Financial Data - New Segment'!H58/'Financial Data - New - USD'!H$12</f>
        <v>-0.93849932798813573</v>
      </c>
      <c r="I57" s="3">
        <f>'Financial Data - New Segment'!I58/'Financial Data - New - USD'!I$12</f>
        <v>-1.7166602126835711</v>
      </c>
      <c r="J57" s="3">
        <f>'Financial Data - New Segment'!J58/'Financial Data - New - USD'!J$12</f>
        <v>-4.0124796527401028</v>
      </c>
      <c r="K57" s="3">
        <f>'Financial Data - New Segment'!K58/'Financial Data - New - USD'!K$12</f>
        <v>-1.5462561041779705</v>
      </c>
      <c r="L57" s="3">
        <f>'Financial Data - New Segment'!L58/'Financial Data - New - USD'!L$12</f>
        <v>-2.5701142414191778</v>
      </c>
      <c r="M57" s="3">
        <f>'Financial Data - New Segment'!M58/'Financial Data - New - USD'!M$12</f>
        <v>-3.2726059227764872</v>
      </c>
    </row>
    <row r="58" spans="2:13" ht="15" customHeight="1" outlineLevel="1" x14ac:dyDescent="0.2">
      <c r="B58" s="101" t="s">
        <v>212</v>
      </c>
      <c r="C58" s="3">
        <f>'Financial Data - New Segment'!C59/'Financial Data - New - USD'!C$12</f>
        <v>2.5652165805814042</v>
      </c>
      <c r="D58" s="3">
        <f>'Financial Data - New Segment'!D59/'Financial Data - New - USD'!D$12</f>
        <v>8.0840614267665529</v>
      </c>
      <c r="E58" s="3">
        <f>'Financial Data - New Segment'!E59/'Financial Data - New - USD'!E$12</f>
        <v>11.469700734850342</v>
      </c>
      <c r="F58" s="3">
        <f>'Financial Data - New Segment'!F59/'Financial Data - New - USD'!F$12</f>
        <v>18.287487656933315</v>
      </c>
      <c r="G58" s="3">
        <f>'Financial Data - New Segment'!G59/'Financial Data - New - USD'!G$12</f>
        <v>4.110733572987975</v>
      </c>
      <c r="H58" s="3">
        <f>'Financial Data - New Segment'!H59/'Financial Data - New - USD'!H$12</f>
        <v>11.564783488591249</v>
      </c>
      <c r="I58" s="3">
        <f>'Financial Data - New Segment'!I59/'Financial Data - New - USD'!I$12</f>
        <v>19.921211760150186</v>
      </c>
      <c r="J58" s="3">
        <f>'Financial Data - New Segment'!J59/'Financial Data - New - USD'!J$12</f>
        <v>25.106091327069741</v>
      </c>
      <c r="K58" s="3">
        <f>'Financial Data - New Segment'!K59/'Financial Data - New - USD'!K$12</f>
        <v>5.3598752034725985</v>
      </c>
      <c r="L58" s="3">
        <f>'Financial Data - New Segment'!L59/'Financial Data - New - USD'!L$12</f>
        <v>9.7018794556059298</v>
      </c>
      <c r="M58" s="3">
        <f>'Financial Data - New Segment'!M59/'Financial Data - New - USD'!M$12</f>
        <v>13.48469867009443</v>
      </c>
    </row>
    <row r="59" spans="2:13" ht="15" customHeight="1" outlineLevel="1" x14ac:dyDescent="0.2">
      <c r="B59" s="101" t="s">
        <v>213</v>
      </c>
      <c r="C59" s="3">
        <f>'Financial Data - New Segment'!C60/'Financial Data - New - USD'!C$12</f>
        <v>-5.0875459173208579</v>
      </c>
      <c r="D59" s="3">
        <f>'Financial Data - New Segment'!D60/'Financial Data - New - USD'!D$12</f>
        <v>-9.1983557841165879</v>
      </c>
      <c r="E59" s="3">
        <f>'Financial Data - New Segment'!E60/'Financial Data - New - USD'!E$12</f>
        <v>-11.950370975185461</v>
      </c>
      <c r="F59" s="3">
        <f>'Financial Data - New Segment'!F60/'Financial Data - New - USD'!F$12</f>
        <v>-14.760368176047429</v>
      </c>
      <c r="G59" s="3">
        <f>'Financial Data - New Segment'!G60/'Financial Data - New - USD'!G$12</f>
        <v>-3.5652730585512442</v>
      </c>
      <c r="H59" s="3">
        <f>'Financial Data - New Segment'!H60/'Financial Data - New - USD'!H$12</f>
        <v>-7.0337241816131391</v>
      </c>
      <c r="I59" s="3">
        <f>'Financial Data - New Segment'!I60/'Financial Data - New - USD'!I$12</f>
        <v>-8.6323016889577566</v>
      </c>
      <c r="J59" s="3">
        <f>'Financial Data - New Segment'!J60/'Financial Data - New - USD'!J$12</f>
        <v>-11.539966302081861</v>
      </c>
      <c r="K59" s="3">
        <f>'Financial Data - New Segment'!K60/'Financial Data - New - USD'!K$12</f>
        <v>-1.5504612045577861</v>
      </c>
      <c r="L59" s="3">
        <f>'Financial Data - New Segment'!L60/'Financial Data - New - USD'!L$12</f>
        <v>-11.440153507935864</v>
      </c>
      <c r="M59" s="3">
        <f>'Financial Data - New Segment'!M60/'Financial Data - New - USD'!M$12</f>
        <v>-10.57423246156128</v>
      </c>
    </row>
    <row r="60" spans="2:13" ht="15" customHeight="1" outlineLevel="1" x14ac:dyDescent="0.2">
      <c r="B60" s="49" t="s">
        <v>134</v>
      </c>
      <c r="C60" s="50">
        <f>SUM(C55:C59)</f>
        <v>175.76982602696319</v>
      </c>
      <c r="D60" s="50">
        <f t="shared" ref="D60:H60" si="29">SUM(D55:D59)</f>
        <v>248.65348684093453</v>
      </c>
      <c r="E60" s="50">
        <f t="shared" si="29"/>
        <v>319.35656217828034</v>
      </c>
      <c r="F60" s="50">
        <f t="shared" si="29"/>
        <v>338.73748060375294</v>
      </c>
      <c r="G60" s="50">
        <f t="shared" si="29"/>
        <v>20.295792912132143</v>
      </c>
      <c r="H60" s="50">
        <f t="shared" si="29"/>
        <v>53.895969473667961</v>
      </c>
      <c r="I60" s="50">
        <f>SUM(I55:I59)</f>
        <v>56.125525006702375</v>
      </c>
      <c r="J60" s="50">
        <f t="shared" ref="J60:K60" si="30">SUM(J55:J59)</f>
        <v>65.504183682211576</v>
      </c>
      <c r="K60" s="50">
        <f t="shared" si="30"/>
        <v>70.011937059142696</v>
      </c>
      <c r="L60" s="50">
        <f t="shared" ref="L60:M60" si="31">SUM(L55:L59)</f>
        <v>105.03500946716956</v>
      </c>
      <c r="M60" s="50">
        <f t="shared" si="31"/>
        <v>150.37042072477382</v>
      </c>
    </row>
    <row r="61" spans="2:13" ht="15" customHeight="1" outlineLevel="1" x14ac:dyDescent="0.2">
      <c r="B61" s="48" t="s">
        <v>201</v>
      </c>
      <c r="C61" s="3">
        <f>'Financial Data - New Segment'!C62/'Financial Data - New - USD'!C$12</f>
        <v>118.12060638833481</v>
      </c>
      <c r="D61" s="3">
        <f>'Financial Data - New Segment'!D62/'Financial Data - New - USD'!D$12</f>
        <v>153.37188817908427</v>
      </c>
      <c r="E61" s="3">
        <f>'Financial Data - New Segment'!E62/'Financial Data - New - USD'!E$12</f>
        <v>189.38815719407816</v>
      </c>
      <c r="F61" s="3">
        <f>'Financial Data - New Segment'!F62/'Financial Data - New - USD'!F$12</f>
        <v>174.69618422908766</v>
      </c>
      <c r="G61" s="3">
        <f>'Financial Data - New Segment'!G62/'Financial Data - New - USD'!G$12</f>
        <v>-14.829040889020233</v>
      </c>
      <c r="H61" s="3">
        <f>'Financial Data - New Segment'!H62/'Financial Data - New - USD'!H$12</f>
        <v>-16.644575242156002</v>
      </c>
      <c r="I61" s="3">
        <f>'Financial Data - New Segment'!I62/'Financial Data - New - USD'!I$12</f>
        <v>-56.285335557475364</v>
      </c>
      <c r="J61" s="3">
        <f>'Financial Data - New Segment'!J62/'Financial Data - New - USD'!J$12</f>
        <v>-95.18976497129978</v>
      </c>
      <c r="K61" s="3">
        <f>'Financial Data - New Segment'!K62/'Financial Data - New - USD'!K$12</f>
        <v>1.5824742268041239</v>
      </c>
      <c r="L61" s="3">
        <f>'Financial Data - New Segment'!L62/'Financial Data - New - USD'!L$12</f>
        <v>-6.4405982743064607</v>
      </c>
      <c r="M61" s="3">
        <f>'Financial Data - New Segment'!M62/'Financial Data - New - USD'!M$12</f>
        <v>-1.6272803678251841</v>
      </c>
    </row>
    <row r="62" spans="2:13" ht="15" customHeight="1" outlineLevel="1" x14ac:dyDescent="0.2">
      <c r="B62" s="101" t="s">
        <v>202</v>
      </c>
      <c r="C62" s="3">
        <f>'Financial Data - New Segment'!C63/'Financial Data - New - USD'!C$12</f>
        <v>19.709112606985045</v>
      </c>
      <c r="D62" s="3">
        <f>'Financial Data - New Segment'!D63/'Financial Data - New - USD'!D$12</f>
        <v>41.976084132604939</v>
      </c>
      <c r="E62" s="3">
        <f>'Financial Data - New Segment'!E63/'Financial Data - New - USD'!E$12</f>
        <v>51.997763498881632</v>
      </c>
      <c r="F62" s="3">
        <f>'Financial Data - New Segment'!F63/'Financial Data - New - USD'!F$12</f>
        <v>57.01844406827491</v>
      </c>
      <c r="G62" s="3">
        <f>'Financial Data - New Segment'!G63/'Financial Data - New - USD'!G$12</f>
        <v>14.66275996782721</v>
      </c>
      <c r="H62" s="3">
        <f>'Financial Data - New Segment'!H63/'Financial Data - New - USD'!H$12</f>
        <v>20.792819514606606</v>
      </c>
      <c r="I62" s="3">
        <f>'Financial Data - New Segment'!I63/'Financial Data - New - USD'!I$12</f>
        <v>38.284531291888946</v>
      </c>
      <c r="J62" s="3">
        <f>'Financial Data - New Segment'!J63/'Financial Data - New - USD'!J$12</f>
        <v>64.335893994345682</v>
      </c>
      <c r="K62" s="3">
        <f>'Financial Data - New Segment'!K63/'Financial Data - New - USD'!K$12</f>
        <v>42.099294628323385</v>
      </c>
      <c r="L62" s="3">
        <f>'Financial Data - New Segment'!L63/'Financial Data - New - USD'!L$12</f>
        <v>67.913537417559155</v>
      </c>
      <c r="M62" s="3">
        <f>'Financial Data - New Segment'!M63/'Financial Data - New - USD'!M$12</f>
        <v>102.82085825876304</v>
      </c>
    </row>
    <row r="63" spans="2:13" ht="15" customHeight="1" outlineLevel="1" x14ac:dyDescent="0.2">
      <c r="B63" s="101" t="s">
        <v>203</v>
      </c>
      <c r="C63" s="3">
        <f>'Financial Data - New Segment'!C64/'Financial Data - New - USD'!C$12</f>
        <v>-0.42122732103899052</v>
      </c>
      <c r="D63" s="3">
        <f>'Financial Data - New Segment'!D64/'Financial Data - New - USD'!D$12</f>
        <v>-0.48472338381052366</v>
      </c>
      <c r="E63" s="3">
        <f>'Financial Data - New Segment'!E64/'Financial Data - New - USD'!E$12</f>
        <v>-1.8635734317867119</v>
      </c>
      <c r="F63" s="3">
        <f>'Financial Data - New Segment'!F64/'Financial Data - New - USD'!F$12</f>
        <v>-3.4241430385103753</v>
      </c>
      <c r="G63" s="3">
        <f>'Financial Data - New Segment'!G64/'Financial Data - New - USD'!G$12</f>
        <v>-2.4425075097257145</v>
      </c>
      <c r="H63" s="3">
        <f>'Financial Data - New Segment'!H64/'Financial Data - New - USD'!H$12</f>
        <v>-2.8879516769399518</v>
      </c>
      <c r="I63" s="3">
        <f>'Financial Data - New Segment'!I64/'Financial Data - New - USD'!I$12</f>
        <v>-5.4803252807482812</v>
      </c>
      <c r="J63" s="3">
        <f>'Financial Data - New Segment'!J64/'Financial Data - New - USD'!J$12</f>
        <v>-9.4471256818117038</v>
      </c>
      <c r="K63" s="3">
        <f>'Financial Data - New Segment'!K64/'Financial Data - New - USD'!K$12</f>
        <v>-4.1134020618556706</v>
      </c>
      <c r="L63" s="3">
        <f>'Financial Data - New Segment'!L64/'Financial Data - New - USD'!L$12</f>
        <v>-6.7462163089474068</v>
      </c>
      <c r="M63" s="3">
        <f>'Financial Data - New Segment'!M64/'Financial Data - New - USD'!M$12</f>
        <v>-8.7632866960003959</v>
      </c>
    </row>
    <row r="64" spans="2:13" ht="15" customHeight="1" outlineLevel="1" x14ac:dyDescent="0.2">
      <c r="B64" s="101" t="s">
        <v>212</v>
      </c>
      <c r="C64" s="3">
        <f>'Financial Data - New Segment'!C65/'Financial Data - New - USD'!C$12</f>
        <v>2.3916164761602889</v>
      </c>
      <c r="D64" s="3">
        <f>'Financial Data - New Segment'!D65/'Financial Data - New - USD'!D$12</f>
        <v>6.7033827428510406</v>
      </c>
      <c r="E64" s="3">
        <f>'Financial Data - New Segment'!E65/'Financial Data - New - USD'!E$12</f>
        <v>8.9997869998934803</v>
      </c>
      <c r="F64" s="3">
        <f>'Financial Data - New Segment'!F65/'Financial Data - New - USD'!F$12</f>
        <v>14.020313161235746</v>
      </c>
      <c r="G64" s="3">
        <f>'Financial Data - New Segment'!G65/'Financial Data - New - USD'!G$12</f>
        <v>2.9618686495625535</v>
      </c>
      <c r="H64" s="3">
        <f>'Financial Data - New Segment'!H65/'Financial Data - New - USD'!H$12</f>
        <v>8.4435587276575372</v>
      </c>
      <c r="I64" s="3">
        <f>'Financial Data - New Segment'!I65/'Financial Data - New - USD'!I$12</f>
        <v>15.447112090792695</v>
      </c>
      <c r="J64" s="3">
        <f>'Financial Data - New Segment'!J65/'Financial Data - New - USD'!J$12</f>
        <v>18.808150326984059</v>
      </c>
      <c r="K64" s="3">
        <f>'Financial Data - New Segment'!K65/'Financial Data - New - USD'!K$12</f>
        <v>4.3442756375474776</v>
      </c>
      <c r="L64" s="3">
        <f>'Financial Data - New Segment'!L65/'Financial Data - New - USD'!L$12</f>
        <v>6.8275450167104861</v>
      </c>
      <c r="M64" s="3">
        <f>'Financial Data - New Segment'!M65/'Financial Data - New - USD'!M$12</f>
        <v>9.272507045038811</v>
      </c>
    </row>
    <row r="65" spans="1:13" ht="15" customHeight="1" outlineLevel="1" x14ac:dyDescent="0.2">
      <c r="B65" s="101" t="s">
        <v>213</v>
      </c>
      <c r="C65" s="3">
        <f>'Financial Data - New Segment'!C66/'Financial Data - New - USD'!C$12</f>
        <v>5.8123403382498333</v>
      </c>
      <c r="D65" s="3">
        <f>'Financial Data - New Segment'!D66/'Financial Data - New - USD'!D$12</f>
        <v>8.2952826663345007</v>
      </c>
      <c r="E65" s="3">
        <f>'Financial Data - New Segment'!E66/'Financial Data - New - USD'!E$12</f>
        <v>6.4299407149703436</v>
      </c>
      <c r="F65" s="3">
        <f>'Financial Data - New Segment'!F66/'Financial Data - New - USD'!F$12</f>
        <v>7.1706164480180705</v>
      </c>
      <c r="G65" s="3">
        <f>'Financial Data - New Segment'!G66/'Financial Data - New - USD'!G$12</f>
        <v>7.2566110208302677</v>
      </c>
      <c r="H65" s="3">
        <f>'Financial Data - New Segment'!H66/'Financial Data - New - USD'!H$12</f>
        <v>12.143795090451254</v>
      </c>
      <c r="I65" s="3">
        <f>'Financial Data - New Segment'!I66/'Financial Data - New - USD'!I$12</f>
        <v>27.092133091060813</v>
      </c>
      <c r="J65" s="3">
        <f>'Financial Data - New Segment'!J66/'Financial Data - New - USD'!J$12</f>
        <v>11.869234943027687</v>
      </c>
      <c r="K65" s="3">
        <f>'Financial Data - New Segment'!K66/'Financial Data - New - USD'!K$12</f>
        <v>11.618827997829625</v>
      </c>
      <c r="L65" s="3">
        <f>'Financial Data - New Segment'!L66/'Financial Data - New - USD'!L$12</f>
        <v>30.57425692247077</v>
      </c>
      <c r="M65" s="3">
        <f>'Financial Data - New Segment'!M66/'Financial Data - New - USD'!M$12</f>
        <v>46.511099026054289</v>
      </c>
    </row>
    <row r="66" spans="1:13" ht="15" customHeight="1" outlineLevel="1" x14ac:dyDescent="0.25">
      <c r="A66" s="75" t="s">
        <v>79</v>
      </c>
      <c r="B66" s="49" t="s">
        <v>135</v>
      </c>
      <c r="C66" s="50">
        <f>SUM(C61:C65)</f>
        <v>145.612448488691</v>
      </c>
      <c r="D66" s="50">
        <f t="shared" ref="D66:J66" si="32">SUM(D61:D65)</f>
        <v>209.86191433706421</v>
      </c>
      <c r="E66" s="50">
        <f t="shared" si="32"/>
        <v>254.9520749760369</v>
      </c>
      <c r="F66" s="50">
        <f t="shared" si="32"/>
        <v>249.48141486810601</v>
      </c>
      <c r="G66" s="50">
        <f t="shared" si="32"/>
        <v>7.6096912394740839</v>
      </c>
      <c r="H66" s="50">
        <f t="shared" si="32"/>
        <v>21.847646413619444</v>
      </c>
      <c r="I66" s="50">
        <f t="shared" si="32"/>
        <v>19.05811563551881</v>
      </c>
      <c r="J66" s="50">
        <f t="shared" si="32"/>
        <v>-9.6236113887540586</v>
      </c>
      <c r="K66" s="50">
        <f t="shared" ref="K66:L66" si="33">SUM(K61:K65)</f>
        <v>55.531470428648937</v>
      </c>
      <c r="L66" s="50">
        <f t="shared" si="33"/>
        <v>92.128524773486546</v>
      </c>
      <c r="M66" s="50">
        <f t="shared" ref="M66" si="34">SUM(M61:M65)</f>
        <v>148.21389726603056</v>
      </c>
    </row>
    <row r="67" spans="1:13" ht="15" customHeight="1" x14ac:dyDescent="0.2">
      <c r="B67" s="103"/>
      <c r="C67" s="102"/>
      <c r="D67" s="102"/>
      <c r="E67" s="102"/>
      <c r="F67" s="102"/>
    </row>
    <row r="68" spans="1:13" ht="15" customHeight="1" x14ac:dyDescent="0.2">
      <c r="B68" s="103"/>
      <c r="C68" s="102"/>
      <c r="D68" s="102"/>
      <c r="E68" s="102"/>
      <c r="F68" s="102"/>
    </row>
    <row r="69" spans="1:13" ht="20.100000000000001" customHeight="1" outlineLevel="1" x14ac:dyDescent="0.2">
      <c r="B69" s="34" t="s">
        <v>232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5" customHeight="1" outlineLevel="1" x14ac:dyDescent="0.2">
      <c r="B70" s="48" t="s">
        <v>201</v>
      </c>
      <c r="C70" s="131">
        <f t="shared" ref="C70:K75" si="35">IFERROR(C55/C49,"n.m.")</f>
        <v>0.24318871588718655</v>
      </c>
      <c r="D70" s="131">
        <f t="shared" si="35"/>
        <v>0.1815582372074111</v>
      </c>
      <c r="E70" s="131">
        <f t="shared" si="35"/>
        <v>0.17123774843886908</v>
      </c>
      <c r="F70" s="131">
        <f t="shared" si="35"/>
        <v>0.13772404292302107</v>
      </c>
      <c r="G70" s="131">
        <f t="shared" si="35"/>
        <v>-2.586755342631776E-2</v>
      </c>
      <c r="H70" s="131">
        <f t="shared" si="35"/>
        <v>1.2395725363471589E-2</v>
      </c>
      <c r="I70" s="131">
        <f t="shared" si="35"/>
        <v>-3.269975829306368E-2</v>
      </c>
      <c r="J70" s="131">
        <f>IFERROR(J55/J49,"n.m.")</f>
        <v>-4.8388837323691695E-2</v>
      </c>
      <c r="K70" s="131">
        <f>IFERROR(K55/K49,"n.m.")</f>
        <v>5.1936689048603039E-2</v>
      </c>
      <c r="L70" s="131">
        <f>IFERROR(L55/L49,"n.m.")</f>
        <v>3.9068037427742994E-2</v>
      </c>
      <c r="M70" s="131">
        <f>IFERROR(M55/M49,"n.m.")</f>
        <v>4.4951407138995793E-2</v>
      </c>
    </row>
    <row r="71" spans="1:13" ht="15" customHeight="1" outlineLevel="1" x14ac:dyDescent="0.2">
      <c r="B71" s="101" t="s">
        <v>202</v>
      </c>
      <c r="C71" s="131">
        <f t="shared" si="35"/>
        <v>0.12838177582340279</v>
      </c>
      <c r="D71" s="131">
        <f t="shared" si="35"/>
        <v>0.15276379569069787</v>
      </c>
      <c r="E71" s="131">
        <f t="shared" si="35"/>
        <v>0.15011660589486475</v>
      </c>
      <c r="F71" s="131">
        <f t="shared" si="35"/>
        <v>0.13303785775944657</v>
      </c>
      <c r="G71" s="131">
        <f t="shared" si="35"/>
        <v>0.15654541017377388</v>
      </c>
      <c r="H71" s="131">
        <f t="shared" si="35"/>
        <v>0.15811957873357751</v>
      </c>
      <c r="I71" s="131">
        <f t="shared" si="35"/>
        <v>0.17117091302949397</v>
      </c>
      <c r="J71" s="131">
        <f t="shared" si="35"/>
        <v>0.18925013510187105</v>
      </c>
      <c r="K71" s="131">
        <f t="shared" si="35"/>
        <v>0.25029714364067757</v>
      </c>
      <c r="L71" s="131">
        <f t="shared" ref="L71:M71" si="36">IFERROR(L56/L50,"n.m.")</f>
        <v>0.22818833942596842</v>
      </c>
      <c r="M71" s="131">
        <f t="shared" si="36"/>
        <v>0.21200246875922549</v>
      </c>
    </row>
    <row r="72" spans="1:13" ht="15" customHeight="1" outlineLevel="1" x14ac:dyDescent="0.2">
      <c r="B72" s="101" t="s">
        <v>203</v>
      </c>
      <c r="C72" s="131">
        <f t="shared" si="35"/>
        <v>-0.64940794056187601</v>
      </c>
      <c r="D72" s="131">
        <f t="shared" si="35"/>
        <v>6.860099245090602E-2</v>
      </c>
      <c r="E72" s="131">
        <f t="shared" si="35"/>
        <v>-6.7332011757468046E-3</v>
      </c>
      <c r="F72" s="131">
        <f t="shared" si="35"/>
        <v>-3.8578813505745733E-2</v>
      </c>
      <c r="G72" s="131">
        <f t="shared" si="35"/>
        <v>-0.70581426409046377</v>
      </c>
      <c r="H72" s="131">
        <f t="shared" si="35"/>
        <v>-0.10355937404111693</v>
      </c>
      <c r="I72" s="131">
        <f t="shared" si="35"/>
        <v>-8.736451148336237E-2</v>
      </c>
      <c r="J72" s="131">
        <f t="shared" si="35"/>
        <v>-0.14009242780012862</v>
      </c>
      <c r="K72" s="131">
        <f t="shared" si="35"/>
        <v>-2.1679345758843667</v>
      </c>
      <c r="L72" s="131">
        <f t="shared" ref="L72:M72" si="37">IFERROR(L57/L51,"n.m.")</f>
        <v>-0.34760415234428715</v>
      </c>
      <c r="M72" s="131">
        <f t="shared" si="37"/>
        <v>-0.24193194693176423</v>
      </c>
    </row>
    <row r="73" spans="1:13" ht="15" customHeight="1" outlineLevel="1" x14ac:dyDescent="0.2">
      <c r="B73" s="101" t="s">
        <v>212</v>
      </c>
      <c r="C73" s="131">
        <f t="shared" si="35"/>
        <v>0.17982066297187072</v>
      </c>
      <c r="D73" s="131">
        <f t="shared" si="35"/>
        <v>0.25642617658015648</v>
      </c>
      <c r="E73" s="131">
        <f t="shared" si="35"/>
        <v>0.24321191180566534</v>
      </c>
      <c r="F73" s="131">
        <f t="shared" si="35"/>
        <v>0.27477089620054629</v>
      </c>
      <c r="G73" s="131">
        <f t="shared" si="35"/>
        <v>0.25653291812212536</v>
      </c>
      <c r="H73" s="131">
        <f t="shared" si="35"/>
        <v>0.35056007192897015</v>
      </c>
      <c r="I73" s="131">
        <f t="shared" si="35"/>
        <v>0.37377706114624404</v>
      </c>
      <c r="J73" s="131">
        <f t="shared" si="35"/>
        <v>0.36160446195737123</v>
      </c>
      <c r="K73" s="131">
        <f t="shared" si="35"/>
        <v>0.33435722989439476</v>
      </c>
      <c r="L73" s="131">
        <f t="shared" ref="L73:M73" si="38">IFERROR(L58/L52,"n.m.")</f>
        <v>0.31065800235189761</v>
      </c>
      <c r="M73" s="131">
        <f t="shared" si="38"/>
        <v>0.28150196996163279</v>
      </c>
    </row>
    <row r="74" spans="1:13" ht="15" customHeight="1" outlineLevel="1" x14ac:dyDescent="0.2">
      <c r="B74" s="101" t="s">
        <v>213</v>
      </c>
      <c r="C74" s="131">
        <f t="shared" si="35"/>
        <v>-2.6257338081031665</v>
      </c>
      <c r="D74" s="131">
        <f t="shared" si="35"/>
        <v>-2.4810175185985117</v>
      </c>
      <c r="E74" s="131">
        <f t="shared" si="35"/>
        <v>-2.1335403726708071</v>
      </c>
      <c r="F74" s="131">
        <f t="shared" si="35"/>
        <v>-1.9764597549170071</v>
      </c>
      <c r="G74" s="131">
        <f t="shared" si="35"/>
        <v>-1.9128137384412149</v>
      </c>
      <c r="H74" s="131">
        <f t="shared" si="35"/>
        <v>-1.943401058562404</v>
      </c>
      <c r="I74" s="131">
        <f t="shared" si="35"/>
        <v>-1.6221382591659672</v>
      </c>
      <c r="J74" s="131">
        <f t="shared" si="35"/>
        <v>-1.6967374874034264</v>
      </c>
      <c r="K74" s="131">
        <f t="shared" si="35"/>
        <v>-0.99642576933135718</v>
      </c>
      <c r="L74" s="131">
        <f t="shared" ref="L74:M74" si="39">IFERROR(L59/L53,"n.m.")</f>
        <v>-3.8101405112578295</v>
      </c>
      <c r="M74" s="131">
        <f t="shared" si="39"/>
        <v>-1.4290200270590789</v>
      </c>
    </row>
    <row r="75" spans="1:13" ht="15" customHeight="1" outlineLevel="1" x14ac:dyDescent="0.2">
      <c r="B75" s="49" t="s">
        <v>233</v>
      </c>
      <c r="C75" s="132">
        <f t="shared" si="35"/>
        <v>0.20548022246646194</v>
      </c>
      <c r="D75" s="132">
        <f t="shared" si="35"/>
        <v>0.16823713986821148</v>
      </c>
      <c r="E75" s="132">
        <f t="shared" si="35"/>
        <v>0.15926533275086824</v>
      </c>
      <c r="F75" s="132">
        <f t="shared" si="35"/>
        <v>0.13154841004333659</v>
      </c>
      <c r="G75" s="132">
        <f t="shared" si="35"/>
        <v>4.0915438426970756E-2</v>
      </c>
      <c r="H75" s="132">
        <f t="shared" si="35"/>
        <v>6.1417726769156883E-2</v>
      </c>
      <c r="I75" s="132">
        <f t="shared" si="35"/>
        <v>4.5003169489590364E-2</v>
      </c>
      <c r="J75" s="132">
        <f t="shared" si="35"/>
        <v>3.9110029268241107E-2</v>
      </c>
      <c r="K75" s="132">
        <f t="shared" si="35"/>
        <v>0.13616029795881437</v>
      </c>
      <c r="L75" s="132">
        <f t="shared" ref="L75:M75" si="40">IFERROR(L60/L54,"n.m.")</f>
        <v>0.11137200328449265</v>
      </c>
      <c r="M75" s="132">
        <f t="shared" si="40"/>
        <v>0.11039696983335609</v>
      </c>
    </row>
    <row r="76" spans="1:13" ht="15" customHeight="1" outlineLevel="1" x14ac:dyDescent="0.2">
      <c r="B76" s="48" t="s">
        <v>201</v>
      </c>
      <c r="C76" s="131">
        <f t="shared" ref="C76:K81" si="41">IFERROR(C61/C49,"n.m.")</f>
        <v>0.19052346741408055</v>
      </c>
      <c r="D76" s="131">
        <f t="shared" si="41"/>
        <v>0.14446191663652519</v>
      </c>
      <c r="E76" s="131">
        <f t="shared" si="41"/>
        <v>0.12979468481353224</v>
      </c>
      <c r="F76" s="131">
        <f t="shared" si="41"/>
        <v>9.401125056388511E-2</v>
      </c>
      <c r="G76" s="131">
        <f t="shared" si="41"/>
        <v>-5.0548881170961422E-2</v>
      </c>
      <c r="H76" s="131">
        <f t="shared" si="41"/>
        <v>-2.9859821631478881E-2</v>
      </c>
      <c r="I76" s="131">
        <f t="shared" si="41"/>
        <v>-7.4743237061281942E-2</v>
      </c>
      <c r="J76" s="131">
        <f>IFERROR(J61/J49,"n.m.")</f>
        <v>-9.3795475685074958E-2</v>
      </c>
      <c r="K76" s="131">
        <f t="shared" si="41"/>
        <v>5.5685150260645277E-3</v>
      </c>
      <c r="L76" s="131">
        <f t="shared" ref="L76:M76" si="42">IFERROR(L61/L49,"n.m.")</f>
        <v>-1.264026799373311E-2</v>
      </c>
      <c r="M76" s="131">
        <f t="shared" si="42"/>
        <v>-2.202167176034212E-3</v>
      </c>
    </row>
    <row r="77" spans="1:13" ht="15" customHeight="1" outlineLevel="1" x14ac:dyDescent="0.2">
      <c r="B77" s="101" t="s">
        <v>202</v>
      </c>
      <c r="C77" s="131">
        <f t="shared" si="41"/>
        <v>9.0233048116381484E-2</v>
      </c>
      <c r="D77" s="131">
        <f t="shared" si="41"/>
        <v>0.11444621959674342</v>
      </c>
      <c r="E77" s="131">
        <f t="shared" si="41"/>
        <v>0.11126747189304162</v>
      </c>
      <c r="F77" s="131">
        <f t="shared" si="41"/>
        <v>9.4016532404961634E-2</v>
      </c>
      <c r="G77" s="131">
        <f t="shared" si="41"/>
        <v>8.0146103546537076E-2</v>
      </c>
      <c r="H77" s="131">
        <f t="shared" si="41"/>
        <v>7.576558456654918E-2</v>
      </c>
      <c r="I77" s="131">
        <f t="shared" si="41"/>
        <v>9.2068003888310643E-2</v>
      </c>
      <c r="J77" s="131">
        <f t="shared" si="41"/>
        <v>0.11589309860288846</v>
      </c>
      <c r="K77" s="131">
        <f t="shared" si="41"/>
        <v>0.19885781508599062</v>
      </c>
      <c r="L77" s="131">
        <f t="shared" ref="L77:M77" si="43">IFERROR(L62/L50,"n.m.")</f>
        <v>0.17327356877112496</v>
      </c>
      <c r="M77" s="131">
        <f t="shared" si="43"/>
        <v>0.18549207062720574</v>
      </c>
    </row>
    <row r="78" spans="1:13" ht="15" customHeight="1" outlineLevel="1" x14ac:dyDescent="0.2">
      <c r="B78" s="101" t="s">
        <v>203</v>
      </c>
      <c r="C78" s="131">
        <f t="shared" si="41"/>
        <v>-0.52449500812630589</v>
      </c>
      <c r="D78" s="131">
        <f t="shared" si="41"/>
        <v>-3.3877647468503989E-2</v>
      </c>
      <c r="E78" s="131">
        <f t="shared" si="41"/>
        <v>-7.1768405222503259E-2</v>
      </c>
      <c r="F78" s="131">
        <f t="shared" si="41"/>
        <v>-9.44361501913622E-2</v>
      </c>
      <c r="G78" s="131">
        <f t="shared" si="41"/>
        <v>-1.3249042827887099</v>
      </c>
      <c r="H78" s="131">
        <f t="shared" si="41"/>
        <v>-0.31867307626743036</v>
      </c>
      <c r="I78" s="131">
        <f t="shared" si="41"/>
        <v>-0.27890548017888273</v>
      </c>
      <c r="J78" s="131">
        <f t="shared" si="41"/>
        <v>-0.32983862524864277</v>
      </c>
      <c r="K78" s="131">
        <f t="shared" si="41"/>
        <v>-5.7672118676302784</v>
      </c>
      <c r="L78" s="131">
        <f t="shared" ref="L78:M78" si="44">IFERROR(L63/L51,"n.m.")</f>
        <v>-0.9124157844080848</v>
      </c>
      <c r="M78" s="131">
        <f t="shared" si="44"/>
        <v>-0.6478381638098023</v>
      </c>
    </row>
    <row r="79" spans="1:13" ht="15" customHeight="1" outlineLevel="1" x14ac:dyDescent="0.2">
      <c r="B79" s="101" t="s">
        <v>212</v>
      </c>
      <c r="C79" s="131">
        <f t="shared" si="41"/>
        <v>0.1676513646345289</v>
      </c>
      <c r="D79" s="131">
        <f t="shared" si="41"/>
        <v>0.21263109174446562</v>
      </c>
      <c r="E79" s="131">
        <f t="shared" si="41"/>
        <v>0.19083805695445</v>
      </c>
      <c r="F79" s="131">
        <f t="shared" si="41"/>
        <v>0.21065627409265886</v>
      </c>
      <c r="G79" s="131">
        <f t="shared" si="41"/>
        <v>0.18483727886417883</v>
      </c>
      <c r="H79" s="131">
        <f t="shared" si="41"/>
        <v>0.2559472520885625</v>
      </c>
      <c r="I79" s="131">
        <f t="shared" si="41"/>
        <v>0.28983057004809321</v>
      </c>
      <c r="J79" s="131">
        <f t="shared" si="41"/>
        <v>0.27089485937101537</v>
      </c>
      <c r="K79" s="131">
        <f t="shared" si="41"/>
        <v>0.27100257243433523</v>
      </c>
      <c r="L79" s="131">
        <f t="shared" ref="L79:M79" si="45">IFERROR(L64/L52,"n.m.")</f>
        <v>0.21862068123649595</v>
      </c>
      <c r="M79" s="131">
        <f t="shared" si="45"/>
        <v>0.19356969432697493</v>
      </c>
    </row>
    <row r="80" spans="1:13" ht="15" customHeight="1" outlineLevel="1" x14ac:dyDescent="0.2">
      <c r="B80" s="101" t="s">
        <v>213</v>
      </c>
      <c r="C80" s="131">
        <f t="shared" si="41"/>
        <v>2.9998075257434316</v>
      </c>
      <c r="D80" s="131">
        <f t="shared" si="41"/>
        <v>2.2374370050395966</v>
      </c>
      <c r="E80" s="131">
        <f t="shared" si="41"/>
        <v>1.1479591836734693</v>
      </c>
      <c r="F80" s="131">
        <f t="shared" si="41"/>
        <v>0.96016811087762366</v>
      </c>
      <c r="G80" s="131">
        <f t="shared" si="41"/>
        <v>3.8932628797886388</v>
      </c>
      <c r="H80" s="131">
        <f t="shared" si="41"/>
        <v>3.3553013488133856</v>
      </c>
      <c r="I80" s="131">
        <f t="shared" si="41"/>
        <v>5.0910159529806887</v>
      </c>
      <c r="J80" s="131">
        <f t="shared" si="41"/>
        <v>1.7451503191132012</v>
      </c>
      <c r="K80" s="131">
        <f t="shared" si="41"/>
        <v>7.4670037485833829</v>
      </c>
      <c r="L80" s="131">
        <f t="shared" ref="L80:M80" si="46">IFERROR(L65/L53,"n.m.")</f>
        <v>10.182749280514646</v>
      </c>
      <c r="M80" s="131">
        <f t="shared" si="46"/>
        <v>6.2855902052815313</v>
      </c>
    </row>
    <row r="81" spans="1:13" ht="15" customHeight="1" outlineLevel="1" x14ac:dyDescent="0.25">
      <c r="A81" s="75" t="s">
        <v>79</v>
      </c>
      <c r="B81" s="49" t="s">
        <v>234</v>
      </c>
      <c r="C81" s="132">
        <f t="shared" si="41"/>
        <v>0.17022533950026575</v>
      </c>
      <c r="D81" s="132">
        <f t="shared" si="41"/>
        <v>0.14199104417916794</v>
      </c>
      <c r="E81" s="132">
        <f t="shared" si="41"/>
        <v>0.12714636824627115</v>
      </c>
      <c r="F81" s="132">
        <f t="shared" si="41"/>
        <v>9.6885893473512993E-2</v>
      </c>
      <c r="G81" s="132">
        <f t="shared" si="41"/>
        <v>1.5340807560706032E-2</v>
      </c>
      <c r="H81" s="132">
        <f t="shared" si="41"/>
        <v>2.4896718457516766E-2</v>
      </c>
      <c r="I81" s="132">
        <f t="shared" si="41"/>
        <v>1.5281382365600029E-2</v>
      </c>
      <c r="J81" s="132">
        <f t="shared" si="41"/>
        <v>-5.7458883070175566E-3</v>
      </c>
      <c r="K81" s="132">
        <f t="shared" si="41"/>
        <v>0.10799846250888057</v>
      </c>
      <c r="L81" s="132">
        <f t="shared" ref="L81:M81" si="47">IFERROR(L66/L54,"n.m.")</f>
        <v>9.7686841898893789E-2</v>
      </c>
      <c r="M81" s="132">
        <f t="shared" si="47"/>
        <v>0.108813721917494</v>
      </c>
    </row>
    <row r="82" spans="1:13" ht="15" customHeight="1" x14ac:dyDescent="0.2">
      <c r="B82" s="103"/>
      <c r="C82" s="102"/>
      <c r="D82" s="102"/>
      <c r="E82" s="102"/>
      <c r="F82" s="102"/>
    </row>
    <row r="83" spans="1:13" ht="15" customHeight="1" x14ac:dyDescent="0.2">
      <c r="B83" s="103"/>
      <c r="C83" s="102"/>
      <c r="D83" s="102"/>
      <c r="E83" s="102"/>
      <c r="F83" s="102"/>
    </row>
    <row r="84" spans="1:13" ht="20.100000000000001" customHeight="1" outlineLevel="1" x14ac:dyDescent="0.2">
      <c r="B84" s="34" t="s">
        <v>164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outlineLevel="1" x14ac:dyDescent="0.2">
      <c r="B85" s="36" t="s">
        <v>132</v>
      </c>
      <c r="C85" s="37" t="s">
        <v>186</v>
      </c>
      <c r="D85" s="37" t="s">
        <v>189</v>
      </c>
      <c r="E85" s="37" t="s">
        <v>193</v>
      </c>
      <c r="F85" s="37" t="s">
        <v>194</v>
      </c>
      <c r="G85" s="37" t="s">
        <v>196</v>
      </c>
      <c r="H85" s="37" t="s">
        <v>220</v>
      </c>
      <c r="I85" s="37" t="s">
        <v>221</v>
      </c>
      <c r="J85" s="37" t="s">
        <v>226</v>
      </c>
      <c r="K85" s="37" t="s">
        <v>236</v>
      </c>
      <c r="L85" s="37" t="s">
        <v>237</v>
      </c>
      <c r="M85" s="37" t="s">
        <v>241</v>
      </c>
    </row>
    <row r="86" spans="1:13" ht="15" customHeight="1" outlineLevel="1" x14ac:dyDescent="0.2">
      <c r="B86" s="48" t="s">
        <v>201</v>
      </c>
      <c r="C86" s="43">
        <f>C49</f>
        <v>619.97930224318998</v>
      </c>
      <c r="D86" s="43">
        <f t="shared" ref="D86:F90" si="48">D49-C49</f>
        <v>441.69765560153451</v>
      </c>
      <c r="E86" s="43">
        <f t="shared" si="48"/>
        <v>397.45950422350347</v>
      </c>
      <c r="F86" s="43">
        <f t="shared" si="48"/>
        <v>399.11117511614611</v>
      </c>
      <c r="G86" s="43">
        <f>G49</f>
        <v>293.36041758999409</v>
      </c>
      <c r="H86" s="43">
        <f t="shared" ref="H86:M90" si="49">H49-G49</f>
        <v>264.06338244399285</v>
      </c>
      <c r="I86" s="43">
        <f t="shared" si="49"/>
        <v>195.62540910485529</v>
      </c>
      <c r="J86" s="43">
        <f t="shared" si="49"/>
        <v>261.81599918854283</v>
      </c>
      <c r="K86" s="43">
        <f>K49</f>
        <v>284.18244709712422</v>
      </c>
      <c r="L86" s="43">
        <f t="shared" si="49"/>
        <v>225.3477525394365</v>
      </c>
      <c r="M86" s="43">
        <f t="shared" si="49"/>
        <v>229.41477490242187</v>
      </c>
    </row>
    <row r="87" spans="1:13" ht="15" customHeight="1" outlineLevel="1" x14ac:dyDescent="0.2">
      <c r="B87" s="101" t="s">
        <v>202</v>
      </c>
      <c r="C87" s="3">
        <f>C50</f>
        <v>218.42454642078002</v>
      </c>
      <c r="D87" s="3">
        <f t="shared" si="48"/>
        <v>148.35108217149349</v>
      </c>
      <c r="E87" s="3">
        <f t="shared" si="48"/>
        <v>100.54660506884233</v>
      </c>
      <c r="F87" s="3">
        <f t="shared" si="48"/>
        <v>139.15029419895035</v>
      </c>
      <c r="G87" s="3">
        <f>G50</f>
        <v>182.9503783588585</v>
      </c>
      <c r="H87" s="3">
        <f t="shared" si="49"/>
        <v>91.485826859661273</v>
      </c>
      <c r="I87" s="3">
        <f t="shared" si="49"/>
        <v>141.39263514965637</v>
      </c>
      <c r="J87" s="3">
        <f t="shared" si="49"/>
        <v>139.30252439750979</v>
      </c>
      <c r="K87" s="3">
        <f>K50</f>
        <v>211.70550732501357</v>
      </c>
      <c r="L87" s="3">
        <f t="shared" si="49"/>
        <v>180.2385029427345</v>
      </c>
      <c r="M87" s="3">
        <f t="shared" si="49"/>
        <v>162.37002542711531</v>
      </c>
    </row>
    <row r="88" spans="1:13" ht="15" customHeight="1" outlineLevel="1" x14ac:dyDescent="0.2">
      <c r="B88" s="101" t="s">
        <v>203</v>
      </c>
      <c r="C88" s="102">
        <f>C51</f>
        <v>0.80311025750993026</v>
      </c>
      <c r="D88" s="102">
        <f t="shared" si="48"/>
        <v>13.504948891554964</v>
      </c>
      <c r="E88" s="102">
        <f t="shared" si="48"/>
        <v>11.658428834179039</v>
      </c>
      <c r="F88" s="102">
        <f t="shared" si="48"/>
        <v>10.292328492986922</v>
      </c>
      <c r="G88" s="102">
        <f>G51</f>
        <v>1.843535070008703</v>
      </c>
      <c r="H88" s="102">
        <f t="shared" si="49"/>
        <v>7.2188925149196939</v>
      </c>
      <c r="I88" s="102">
        <f t="shared" si="49"/>
        <v>10.586972194643316</v>
      </c>
      <c r="J88" s="102">
        <f t="shared" si="49"/>
        <v>8.9922599856851981</v>
      </c>
      <c r="K88" s="102">
        <f>K51</f>
        <v>0.7132392837764514</v>
      </c>
      <c r="L88" s="102">
        <f t="shared" si="49"/>
        <v>6.6805568607344714</v>
      </c>
      <c r="M88" s="102">
        <f t="shared" si="49"/>
        <v>6.1331727584405771</v>
      </c>
    </row>
    <row r="89" spans="1:13" ht="15" customHeight="1" outlineLevel="1" x14ac:dyDescent="0.2">
      <c r="B89" s="101" t="s">
        <v>212</v>
      </c>
      <c r="C89" s="102">
        <f>C52</f>
        <v>14.265416099498422</v>
      </c>
      <c r="D89" s="102">
        <f t="shared" si="48"/>
        <v>17.260466065029931</v>
      </c>
      <c r="E89" s="102">
        <f t="shared" si="48"/>
        <v>15.633406415115832</v>
      </c>
      <c r="F89" s="102">
        <f t="shared" si="48"/>
        <v>19.39611415699018</v>
      </c>
      <c r="G89" s="102">
        <f>G52</f>
        <v>16.024195269283197</v>
      </c>
      <c r="H89" s="102">
        <f t="shared" si="49"/>
        <v>16.96525337201696</v>
      </c>
      <c r="I89" s="102">
        <f t="shared" si="49"/>
        <v>20.307593448599015</v>
      </c>
      <c r="J89" s="102">
        <f t="shared" si="49"/>
        <v>16.132663481680432</v>
      </c>
      <c r="K89" s="102">
        <f>K52</f>
        <v>16.030385241454152</v>
      </c>
      <c r="L89" s="102">
        <f t="shared" si="49"/>
        <v>15.199711463462318</v>
      </c>
      <c r="M89" s="102">
        <f t="shared" si="49"/>
        <v>16.672582881774595</v>
      </c>
    </row>
    <row r="90" spans="1:13" ht="15" customHeight="1" outlineLevel="1" x14ac:dyDescent="0.2">
      <c r="B90" s="101" t="s">
        <v>213</v>
      </c>
      <c r="C90" s="102">
        <f>C53</f>
        <v>1.937571090268327</v>
      </c>
      <c r="D90" s="102">
        <f t="shared" si="48"/>
        <v>1.7699221922912398</v>
      </c>
      <c r="E90" s="102">
        <f t="shared" si="48"/>
        <v>1.8936995180368217</v>
      </c>
      <c r="F90" s="102">
        <f t="shared" si="48"/>
        <v>1.8668915554482037</v>
      </c>
      <c r="G90" s="102">
        <f>G53</f>
        <v>1.8638892992564173</v>
      </c>
      <c r="H90" s="102">
        <f t="shared" si="49"/>
        <v>1.7553966688268821</v>
      </c>
      <c r="I90" s="102">
        <f t="shared" si="49"/>
        <v>1.7022713283928406</v>
      </c>
      <c r="J90" s="102">
        <f t="shared" si="49"/>
        <v>1.4797106590883082</v>
      </c>
      <c r="K90" s="102">
        <f>K53</f>
        <v>1.5560227889310907</v>
      </c>
      <c r="L90" s="102">
        <f t="shared" si="49"/>
        <v>1.4465314407970835</v>
      </c>
      <c r="M90" s="102">
        <f t="shared" si="49"/>
        <v>4.3970848665293039</v>
      </c>
    </row>
    <row r="91" spans="1:13" ht="15" customHeight="1" outlineLevel="1" x14ac:dyDescent="0.2">
      <c r="B91" s="49" t="s">
        <v>133</v>
      </c>
      <c r="C91" s="50">
        <f>+C54</f>
        <v>855.40994611124665</v>
      </c>
      <c r="D91" s="50">
        <f>+D54-C54</f>
        <v>622.5840749219044</v>
      </c>
      <c r="E91" s="50">
        <f>+E54-D54</f>
        <v>527.1916440596774</v>
      </c>
      <c r="F91" s="50">
        <f>+F54-E54</f>
        <v>569.81680352052172</v>
      </c>
      <c r="G91" s="50">
        <f>+G54</f>
        <v>496.04241558740097</v>
      </c>
      <c r="H91" s="50">
        <f>+H54-G54</f>
        <v>381.48875185941762</v>
      </c>
      <c r="I91" s="50">
        <f>+I54-H54</f>
        <v>369.61488122614685</v>
      </c>
      <c r="J91" s="50">
        <f>+J54-I54</f>
        <v>427.72315771250669</v>
      </c>
      <c r="K91" s="50">
        <f>+K54</f>
        <v>514.18760173629937</v>
      </c>
      <c r="L91" s="50">
        <f>+L54-K54</f>
        <v>428.91305524716495</v>
      </c>
      <c r="M91" s="50">
        <f>+M54-L54</f>
        <v>418.98764083628146</v>
      </c>
    </row>
    <row r="92" spans="1:13" ht="15" customHeight="1" outlineLevel="1" x14ac:dyDescent="0.2">
      <c r="B92" s="48" t="s">
        <v>201</v>
      </c>
      <c r="C92" s="43">
        <f>C55</f>
        <v>150.77197038915529</v>
      </c>
      <c r="D92" s="43">
        <f t="shared" ref="D92:F96" si="50">D55-C55</f>
        <v>41.98422656085981</v>
      </c>
      <c r="E92" s="43">
        <f t="shared" si="50"/>
        <v>57.103045479605555</v>
      </c>
      <c r="F92" s="43">
        <f t="shared" si="50"/>
        <v>6.066134915562543</v>
      </c>
      <c r="G92" s="43">
        <f>G55</f>
        <v>-7.58851627517606</v>
      </c>
      <c r="H92" s="43">
        <f t="shared" ref="H92:M96" si="51">H55-G55</f>
        <v>14.498188611460067</v>
      </c>
      <c r="I92" s="43">
        <f t="shared" si="51"/>
        <v>-31.534199457906908</v>
      </c>
      <c r="J92" s="43">
        <f t="shared" si="51"/>
        <v>-24.48362034960542</v>
      </c>
      <c r="K92" s="43">
        <f>K55</f>
        <v>14.759495387954424</v>
      </c>
      <c r="L92" s="43">
        <f t="shared" si="51"/>
        <v>5.14684952201209</v>
      </c>
      <c r="M92" s="43">
        <f t="shared" si="51"/>
        <v>13.310271493850173</v>
      </c>
    </row>
    <row r="93" spans="1:13" ht="15" customHeight="1" outlineLevel="1" x14ac:dyDescent="0.2">
      <c r="B93" s="101" t="s">
        <v>202</v>
      </c>
      <c r="C93" s="3">
        <f>C56</f>
        <v>28.04173115292102</v>
      </c>
      <c r="D93" s="3">
        <f t="shared" si="50"/>
        <v>27.988306037676335</v>
      </c>
      <c r="E93" s="3">
        <f t="shared" si="50"/>
        <v>14.122790385816273</v>
      </c>
      <c r="F93" s="3">
        <f t="shared" si="50"/>
        <v>10.530978320045847</v>
      </c>
      <c r="G93" s="3">
        <f>G56</f>
        <v>28.640042021634628</v>
      </c>
      <c r="H93" s="3">
        <f t="shared" si="51"/>
        <v>14.753695136759347</v>
      </c>
      <c r="I93" s="3">
        <f t="shared" si="51"/>
        <v>27.784065111422436</v>
      </c>
      <c r="J93" s="3">
        <f t="shared" si="51"/>
        <v>33.880883511375714</v>
      </c>
      <c r="K93" s="3">
        <f>K56</f>
        <v>52.989283776451437</v>
      </c>
      <c r="L93" s="3">
        <f t="shared" si="51"/>
        <v>36.447769074500705</v>
      </c>
      <c r="M93" s="3">
        <f t="shared" si="51"/>
        <v>28.078891184248334</v>
      </c>
    </row>
    <row r="94" spans="1:13" ht="15" customHeight="1" outlineLevel="1" x14ac:dyDescent="0.2">
      <c r="B94" s="101" t="s">
        <v>203</v>
      </c>
      <c r="C94" s="102">
        <f>C57</f>
        <v>-0.5215461783736417</v>
      </c>
      <c r="D94" s="102">
        <f t="shared" si="50"/>
        <v>1.5030932360457592</v>
      </c>
      <c r="E94" s="102">
        <f t="shared" si="50"/>
        <v>-1.156384645090911</v>
      </c>
      <c r="F94" s="102">
        <f t="shared" si="50"/>
        <v>-1.2239845313567774</v>
      </c>
      <c r="G94" s="102">
        <f>G57</f>
        <v>-1.3011933487631544</v>
      </c>
      <c r="H94" s="102">
        <f t="shared" si="51"/>
        <v>0.36269402077501867</v>
      </c>
      <c r="I94" s="102">
        <f t="shared" si="51"/>
        <v>-0.77816088469543532</v>
      </c>
      <c r="J94" s="102">
        <f t="shared" si="51"/>
        <v>-2.2958194400565315</v>
      </c>
      <c r="K94" s="102">
        <f>K57</f>
        <v>-1.5462561041779705</v>
      </c>
      <c r="L94" s="102">
        <f t="shared" si="51"/>
        <v>-1.0238581372412072</v>
      </c>
      <c r="M94" s="102">
        <f t="shared" si="51"/>
        <v>-0.70249168135730944</v>
      </c>
    </row>
    <row r="95" spans="1:13" ht="15" customHeight="1" outlineLevel="1" x14ac:dyDescent="0.2">
      <c r="B95" s="101" t="s">
        <v>212</v>
      </c>
      <c r="C95" s="102">
        <f>C58</f>
        <v>2.5652165805814042</v>
      </c>
      <c r="D95" s="102">
        <f t="shared" si="50"/>
        <v>5.5188448461851483</v>
      </c>
      <c r="E95" s="102">
        <f t="shared" si="50"/>
        <v>3.385639308083789</v>
      </c>
      <c r="F95" s="102">
        <f t="shared" si="50"/>
        <v>6.8177869220829734</v>
      </c>
      <c r="G95" s="102">
        <f>G58</f>
        <v>4.110733572987975</v>
      </c>
      <c r="H95" s="102">
        <f t="shared" si="51"/>
        <v>7.4540499156032745</v>
      </c>
      <c r="I95" s="102">
        <f t="shared" si="51"/>
        <v>8.3564282715589364</v>
      </c>
      <c r="J95" s="102">
        <f t="shared" si="51"/>
        <v>5.1848795669195553</v>
      </c>
      <c r="K95" s="102">
        <f>K58</f>
        <v>5.3598752034725985</v>
      </c>
      <c r="L95" s="102">
        <f t="shared" si="51"/>
        <v>4.3420042521333313</v>
      </c>
      <c r="M95" s="102">
        <f t="shared" si="51"/>
        <v>3.7828192144884998</v>
      </c>
    </row>
    <row r="96" spans="1:13" ht="15" customHeight="1" outlineLevel="1" x14ac:dyDescent="0.2">
      <c r="B96" s="101" t="s">
        <v>213</v>
      </c>
      <c r="C96" s="102">
        <f>C59</f>
        <v>-5.0875459173208579</v>
      </c>
      <c r="D96" s="102">
        <f t="shared" si="50"/>
        <v>-4.11080986679573</v>
      </c>
      <c r="E96" s="102">
        <f t="shared" si="50"/>
        <v>-2.7520151910688728</v>
      </c>
      <c r="F96" s="102">
        <f t="shared" si="50"/>
        <v>-2.809997200861968</v>
      </c>
      <c r="G96" s="102">
        <f>G59</f>
        <v>-3.5652730585512442</v>
      </c>
      <c r="H96" s="102">
        <f t="shared" si="51"/>
        <v>-3.4684511230618948</v>
      </c>
      <c r="I96" s="102">
        <f t="shared" si="51"/>
        <v>-1.5985775073446176</v>
      </c>
      <c r="J96" s="102">
        <f t="shared" si="51"/>
        <v>-2.9076646131241048</v>
      </c>
      <c r="K96" s="102">
        <f>K59</f>
        <v>-1.5504612045577861</v>
      </c>
      <c r="L96" s="102">
        <f t="shared" si="51"/>
        <v>-9.8896923033780784</v>
      </c>
      <c r="M96" s="102">
        <f t="shared" si="51"/>
        <v>0.86592104637458434</v>
      </c>
    </row>
    <row r="97" spans="1:13" ht="15" customHeight="1" outlineLevel="1" x14ac:dyDescent="0.2">
      <c r="B97" s="49" t="s">
        <v>134</v>
      </c>
      <c r="C97" s="50">
        <f>+C60</f>
        <v>175.76982602696319</v>
      </c>
      <c r="D97" s="50">
        <f>+D60-C60</f>
        <v>72.883660813971346</v>
      </c>
      <c r="E97" s="50">
        <f>+E60-D60</f>
        <v>70.703075337345808</v>
      </c>
      <c r="F97" s="50">
        <f>+F60-E60</f>
        <v>19.380918425472601</v>
      </c>
      <c r="G97" s="50">
        <f>+G60</f>
        <v>20.295792912132143</v>
      </c>
      <c r="H97" s="50">
        <f>+H60-G60</f>
        <v>33.600176561535818</v>
      </c>
      <c r="I97" s="50">
        <f>+I60-H60</f>
        <v>2.2295555330344143</v>
      </c>
      <c r="J97" s="50">
        <f>+J60-I60</f>
        <v>9.3786586755092003</v>
      </c>
      <c r="K97" s="50">
        <f>+K60</f>
        <v>70.011937059142696</v>
      </c>
      <c r="L97" s="50">
        <f>+L60-K60</f>
        <v>35.023072408026863</v>
      </c>
      <c r="M97" s="50">
        <f>+M60-L60</f>
        <v>45.335411257604264</v>
      </c>
    </row>
    <row r="98" spans="1:13" ht="15" customHeight="1" outlineLevel="1" x14ac:dyDescent="0.2">
      <c r="B98" s="48" t="s">
        <v>201</v>
      </c>
      <c r="C98" s="43">
        <f>C61</f>
        <v>118.12060638833481</v>
      </c>
      <c r="D98" s="43">
        <f t="shared" ref="D98:F102" si="52">D61-C61</f>
        <v>35.251281790749459</v>
      </c>
      <c r="E98" s="43">
        <f t="shared" si="52"/>
        <v>36.016269014993895</v>
      </c>
      <c r="F98" s="43">
        <f t="shared" si="52"/>
        <v>-14.691972964990498</v>
      </c>
      <c r="G98" s="43">
        <f>G61</f>
        <v>-14.829040889020233</v>
      </c>
      <c r="H98" s="43">
        <f t="shared" ref="H98:M102" si="53">H61-G61</f>
        <v>-1.8155343531357691</v>
      </c>
      <c r="I98" s="43">
        <f t="shared" si="53"/>
        <v>-39.640760315319362</v>
      </c>
      <c r="J98" s="43">
        <f t="shared" si="53"/>
        <v>-38.904429413824417</v>
      </c>
      <c r="K98" s="43">
        <f>K61</f>
        <v>1.5824742268041239</v>
      </c>
      <c r="L98" s="43">
        <f t="shared" si="53"/>
        <v>-8.023072501110585</v>
      </c>
      <c r="M98" s="43">
        <f t="shared" si="53"/>
        <v>4.8133179064812763</v>
      </c>
    </row>
    <row r="99" spans="1:13" ht="15" customHeight="1" outlineLevel="1" x14ac:dyDescent="0.2">
      <c r="B99" s="101" t="s">
        <v>202</v>
      </c>
      <c r="C99" s="3">
        <f>C62</f>
        <v>19.709112606985045</v>
      </c>
      <c r="D99" s="3">
        <f t="shared" si="52"/>
        <v>22.266971525619894</v>
      </c>
      <c r="E99" s="3">
        <f t="shared" si="52"/>
        <v>10.021679366276693</v>
      </c>
      <c r="F99" s="3">
        <f t="shared" si="52"/>
        <v>5.0206805693932779</v>
      </c>
      <c r="G99" s="3">
        <f>G62</f>
        <v>14.66275996782721</v>
      </c>
      <c r="H99" s="3">
        <f t="shared" si="53"/>
        <v>6.1300595467793961</v>
      </c>
      <c r="I99" s="3">
        <f t="shared" si="53"/>
        <v>17.49171177728234</v>
      </c>
      <c r="J99" s="3">
        <f t="shared" si="53"/>
        <v>26.051362702456736</v>
      </c>
      <c r="K99" s="3">
        <f>K62</f>
        <v>42.099294628323385</v>
      </c>
      <c r="L99" s="3">
        <f t="shared" si="53"/>
        <v>25.81424278923577</v>
      </c>
      <c r="M99" s="3">
        <f t="shared" si="53"/>
        <v>34.907320841203884</v>
      </c>
    </row>
    <row r="100" spans="1:13" ht="15" customHeight="1" outlineLevel="1" x14ac:dyDescent="0.2">
      <c r="B100" s="101" t="s">
        <v>203</v>
      </c>
      <c r="C100" s="102">
        <f>C63</f>
        <v>-0.42122732103899052</v>
      </c>
      <c r="D100" s="102">
        <f t="shared" si="52"/>
        <v>-6.3496062771533135E-2</v>
      </c>
      <c r="E100" s="102">
        <f t="shared" si="52"/>
        <v>-1.3788500479761883</v>
      </c>
      <c r="F100" s="102">
        <f t="shared" si="52"/>
        <v>-1.5605696067236634</v>
      </c>
      <c r="G100" s="102">
        <f>G63</f>
        <v>-2.4425075097257145</v>
      </c>
      <c r="H100" s="102">
        <f t="shared" si="53"/>
        <v>-0.4454441672142373</v>
      </c>
      <c r="I100" s="102">
        <f t="shared" si="53"/>
        <v>-2.5923736038083294</v>
      </c>
      <c r="J100" s="102">
        <f t="shared" si="53"/>
        <v>-3.9668004010634226</v>
      </c>
      <c r="K100" s="102">
        <f>K63</f>
        <v>-4.1134020618556706</v>
      </c>
      <c r="L100" s="102">
        <f t="shared" si="53"/>
        <v>-2.6328142470917362</v>
      </c>
      <c r="M100" s="102">
        <f t="shared" si="53"/>
        <v>-2.0170703870529891</v>
      </c>
    </row>
    <row r="101" spans="1:13" ht="15" customHeight="1" outlineLevel="1" x14ac:dyDescent="0.2">
      <c r="B101" s="101" t="s">
        <v>212</v>
      </c>
      <c r="C101" s="102">
        <f>C64</f>
        <v>2.3916164761602889</v>
      </c>
      <c r="D101" s="102">
        <f t="shared" si="52"/>
        <v>4.3117662666907517</v>
      </c>
      <c r="E101" s="102">
        <f t="shared" si="52"/>
        <v>2.2964042570424397</v>
      </c>
      <c r="F101" s="102">
        <f t="shared" si="52"/>
        <v>5.020526161342266</v>
      </c>
      <c r="G101" s="102">
        <f>G64</f>
        <v>2.9618686495625535</v>
      </c>
      <c r="H101" s="102">
        <f t="shared" si="53"/>
        <v>5.4816900780949833</v>
      </c>
      <c r="I101" s="102">
        <f t="shared" si="53"/>
        <v>7.0035533631351576</v>
      </c>
      <c r="J101" s="102">
        <f t="shared" si="53"/>
        <v>3.361038236191364</v>
      </c>
      <c r="K101" s="102">
        <f>K64</f>
        <v>4.3442756375474776</v>
      </c>
      <c r="L101" s="102">
        <f t="shared" si="53"/>
        <v>2.4832693791630085</v>
      </c>
      <c r="M101" s="102">
        <f t="shared" si="53"/>
        <v>2.4449620283283249</v>
      </c>
    </row>
    <row r="102" spans="1:13" ht="15" customHeight="1" outlineLevel="1" x14ac:dyDescent="0.2">
      <c r="B102" s="101" t="s">
        <v>213</v>
      </c>
      <c r="C102" s="102">
        <f>C65</f>
        <v>5.8123403382498333</v>
      </c>
      <c r="D102" s="102">
        <f t="shared" si="52"/>
        <v>2.4829423280846674</v>
      </c>
      <c r="E102" s="102">
        <f t="shared" si="52"/>
        <v>-1.8653419513641571</v>
      </c>
      <c r="F102" s="102">
        <f t="shared" si="52"/>
        <v>0.74067573304772694</v>
      </c>
      <c r="G102" s="102">
        <f>G65</f>
        <v>7.2566110208302677</v>
      </c>
      <c r="H102" s="102">
        <f t="shared" si="53"/>
        <v>4.8871840696209867</v>
      </c>
      <c r="I102" s="102">
        <f t="shared" si="53"/>
        <v>14.948338000609558</v>
      </c>
      <c r="J102" s="102">
        <f t="shared" si="53"/>
        <v>-15.222898148033126</v>
      </c>
      <c r="K102" s="102">
        <f>K65</f>
        <v>11.618827997829625</v>
      </c>
      <c r="L102" s="102">
        <f t="shared" si="53"/>
        <v>18.955428924641147</v>
      </c>
      <c r="M102" s="102">
        <f t="shared" si="53"/>
        <v>15.936842103583519</v>
      </c>
    </row>
    <row r="103" spans="1:13" ht="15" customHeight="1" outlineLevel="1" x14ac:dyDescent="0.25">
      <c r="A103" s="75" t="s">
        <v>79</v>
      </c>
      <c r="B103" s="49" t="s">
        <v>135</v>
      </c>
      <c r="C103" s="50">
        <f>+C66</f>
        <v>145.612448488691</v>
      </c>
      <c r="D103" s="50">
        <f>+D66-C66</f>
        <v>64.249465848373205</v>
      </c>
      <c r="E103" s="50">
        <f>+E66-D66</f>
        <v>45.090160638972691</v>
      </c>
      <c r="F103" s="50">
        <f>+F66-E66</f>
        <v>-5.4706601079308825</v>
      </c>
      <c r="G103" s="50">
        <f>+G66</f>
        <v>7.6096912394740839</v>
      </c>
      <c r="H103" s="50">
        <f>+H66-G66</f>
        <v>14.237955174145359</v>
      </c>
      <c r="I103" s="50">
        <f>+I66-H66</f>
        <v>-2.7895307781006338</v>
      </c>
      <c r="J103" s="50">
        <f>+J66-I66</f>
        <v>-28.681727024272867</v>
      </c>
      <c r="K103" s="50">
        <f>+K66</f>
        <v>55.531470428648937</v>
      </c>
      <c r="L103" s="50">
        <f>+L66-K66</f>
        <v>36.597054344837609</v>
      </c>
      <c r="M103" s="50">
        <f>+M66-L66</f>
        <v>56.08537249254401</v>
      </c>
    </row>
    <row r="104" spans="1:13" x14ac:dyDescent="0.2">
      <c r="F104" s="92"/>
    </row>
    <row r="105" spans="1:13" x14ac:dyDescent="0.2">
      <c r="F105" s="92"/>
    </row>
    <row r="106" spans="1:13" ht="20.100000000000001" customHeight="1" outlineLevel="1" x14ac:dyDescent="0.2">
      <c r="B106" s="34" t="s">
        <v>231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5" customHeight="1" outlineLevel="1" x14ac:dyDescent="0.2">
      <c r="B107" s="48" t="s">
        <v>201</v>
      </c>
      <c r="C107" s="131">
        <f t="shared" ref="C107:K112" si="54">IFERROR(C92/C86,"n.m.")</f>
        <v>0.24318871588718655</v>
      </c>
      <c r="D107" s="131">
        <f t="shared" si="54"/>
        <v>9.5051956985560127E-2</v>
      </c>
      <c r="E107" s="131">
        <f t="shared" si="54"/>
        <v>0.14367009688487609</v>
      </c>
      <c r="F107" s="131">
        <f t="shared" si="54"/>
        <v>1.5199110658320266E-2</v>
      </c>
      <c r="G107" s="131">
        <f t="shared" si="54"/>
        <v>-2.586755342631776E-2</v>
      </c>
      <c r="H107" s="131">
        <f t="shared" si="54"/>
        <v>5.4904199428465229E-2</v>
      </c>
      <c r="I107" s="131">
        <f t="shared" si="54"/>
        <v>-0.16119684862105293</v>
      </c>
      <c r="J107" s="131">
        <f>IFERROR(J92/J86,"n.m.")</f>
        <v>-9.351460730241283E-2</v>
      </c>
      <c r="K107" s="131">
        <f>IFERROR(K92/K86,"n.m.")</f>
        <v>5.1936689048603039E-2</v>
      </c>
      <c r="L107" s="131">
        <f>IFERROR(L92/L86,"n.m.")</f>
        <v>2.2839586656678002E-2</v>
      </c>
      <c r="M107" s="131">
        <f>IFERROR(M92/M86,"n.m.")</f>
        <v>5.8018370872196433E-2</v>
      </c>
    </row>
    <row r="108" spans="1:13" ht="15" customHeight="1" outlineLevel="1" x14ac:dyDescent="0.2">
      <c r="B108" s="101" t="s">
        <v>202</v>
      </c>
      <c r="C108" s="131">
        <f t="shared" si="54"/>
        <v>0.12838177582340279</v>
      </c>
      <c r="D108" s="131">
        <f t="shared" si="54"/>
        <v>0.18866263479845682</v>
      </c>
      <c r="E108" s="131">
        <f t="shared" si="54"/>
        <v>0.1404601416044497</v>
      </c>
      <c r="F108" s="131">
        <f t="shared" si="54"/>
        <v>7.5680604059587292E-2</v>
      </c>
      <c r="G108" s="131">
        <f t="shared" si="54"/>
        <v>0.15654541017377388</v>
      </c>
      <c r="H108" s="131">
        <f t="shared" si="54"/>
        <v>0.16126754977458344</v>
      </c>
      <c r="I108" s="131">
        <f t="shared" si="54"/>
        <v>0.19650291602539638</v>
      </c>
      <c r="J108" s="131">
        <f t="shared" si="54"/>
        <v>0.24321801530813736</v>
      </c>
      <c r="K108" s="131">
        <f t="shared" si="54"/>
        <v>0.25029714364067757</v>
      </c>
      <c r="L108" s="131">
        <f t="shared" ref="L108:M108" si="55">IFERROR(L93/L87,"n.m.")</f>
        <v>0.20221966161181951</v>
      </c>
      <c r="M108" s="131">
        <f t="shared" si="55"/>
        <v>0.17293149465479632</v>
      </c>
    </row>
    <row r="109" spans="1:13" ht="15" customHeight="1" outlineLevel="1" x14ac:dyDescent="0.2">
      <c r="B109" s="101" t="s">
        <v>203</v>
      </c>
      <c r="C109" s="131">
        <f t="shared" si="54"/>
        <v>-0.64940794056187601</v>
      </c>
      <c r="D109" s="131">
        <f t="shared" si="54"/>
        <v>0.11129943905124194</v>
      </c>
      <c r="E109" s="131">
        <f t="shared" si="54"/>
        <v>-9.9188721013652864E-2</v>
      </c>
      <c r="F109" s="131">
        <f t="shared" si="54"/>
        <v>-0.11892202354314545</v>
      </c>
      <c r="G109" s="131">
        <f t="shared" si="54"/>
        <v>-0.70581426409046377</v>
      </c>
      <c r="H109" s="131">
        <f t="shared" si="54"/>
        <v>5.0242335652652868E-2</v>
      </c>
      <c r="I109" s="131">
        <f t="shared" si="54"/>
        <v>-7.3501740666624293E-2</v>
      </c>
      <c r="J109" s="131">
        <f t="shared" si="54"/>
        <v>-0.25531061643138125</v>
      </c>
      <c r="K109" s="131">
        <f t="shared" si="54"/>
        <v>-2.1679345758843667</v>
      </c>
      <c r="L109" s="131">
        <f t="shared" ref="L109:M109" si="56">IFERROR(L94/L88,"n.m.")</f>
        <v>-0.15325940016453099</v>
      </c>
      <c r="M109" s="131">
        <f t="shared" si="56"/>
        <v>-0.11453968590572121</v>
      </c>
    </row>
    <row r="110" spans="1:13" ht="15" customHeight="1" outlineLevel="1" x14ac:dyDescent="0.2">
      <c r="B110" s="101" t="s">
        <v>212</v>
      </c>
      <c r="C110" s="131">
        <f t="shared" si="54"/>
        <v>0.17982066297187072</v>
      </c>
      <c r="D110" s="131">
        <f t="shared" si="54"/>
        <v>0.31973903980301233</v>
      </c>
      <c r="E110" s="131">
        <f t="shared" si="54"/>
        <v>0.21656440178067896</v>
      </c>
      <c r="F110" s="131">
        <f t="shared" si="54"/>
        <v>0.35150272198340854</v>
      </c>
      <c r="G110" s="131">
        <f t="shared" si="54"/>
        <v>0.25653291812212536</v>
      </c>
      <c r="H110" s="131">
        <f t="shared" si="54"/>
        <v>0.43937156446470915</v>
      </c>
      <c r="I110" s="131">
        <f t="shared" si="54"/>
        <v>0.41149278927166194</v>
      </c>
      <c r="J110" s="131">
        <f t="shared" si="54"/>
        <v>0.32139017669384135</v>
      </c>
      <c r="K110" s="131">
        <f t="shared" si="54"/>
        <v>0.33435722989439476</v>
      </c>
      <c r="L110" s="131">
        <f t="shared" ref="L110:M110" si="57">IFERROR(L95/L89,"n.m.")</f>
        <v>0.28566359713938105</v>
      </c>
      <c r="M110" s="131">
        <f t="shared" si="57"/>
        <v>0.22688861355870882</v>
      </c>
    </row>
    <row r="111" spans="1:13" ht="15" customHeight="1" outlineLevel="1" x14ac:dyDescent="0.2">
      <c r="B111" s="101" t="s">
        <v>213</v>
      </c>
      <c r="C111" s="131">
        <f t="shared" si="54"/>
        <v>-2.6257338081031665</v>
      </c>
      <c r="D111" s="131">
        <f t="shared" si="54"/>
        <v>-2.3225935494227072</v>
      </c>
      <c r="E111" s="131">
        <f t="shared" si="54"/>
        <v>-1.453248081259406</v>
      </c>
      <c r="F111" s="131">
        <f t="shared" si="54"/>
        <v>-1.5051743057391158</v>
      </c>
      <c r="G111" s="131">
        <f t="shared" si="54"/>
        <v>-1.9128137384412149</v>
      </c>
      <c r="H111" s="131">
        <f t="shared" si="54"/>
        <v>-1.9758788339161164</v>
      </c>
      <c r="I111" s="131">
        <f t="shared" si="54"/>
        <v>-0.93908502168915509</v>
      </c>
      <c r="J111" s="131">
        <f t="shared" si="54"/>
        <v>-1.9650224152035234</v>
      </c>
      <c r="K111" s="131">
        <f t="shared" si="54"/>
        <v>-0.99642576933135718</v>
      </c>
      <c r="L111" s="131">
        <f t="shared" ref="L111:M111" si="58">IFERROR(L96/L90,"n.m.")</f>
        <v>-6.8368319031686946</v>
      </c>
      <c r="M111" s="131">
        <f t="shared" si="58"/>
        <v>0.1969307103817787</v>
      </c>
    </row>
    <row r="112" spans="1:13" ht="15" customHeight="1" outlineLevel="1" x14ac:dyDescent="0.2">
      <c r="B112" s="49" t="s">
        <v>233</v>
      </c>
      <c r="C112" s="132">
        <f t="shared" si="54"/>
        <v>0.20548022246646194</v>
      </c>
      <c r="D112" s="132">
        <f t="shared" si="54"/>
        <v>0.11706637504840404</v>
      </c>
      <c r="E112" s="132">
        <f t="shared" si="54"/>
        <v>0.13411266307806335</v>
      </c>
      <c r="F112" s="132">
        <f t="shared" si="54"/>
        <v>3.4012542813287895E-2</v>
      </c>
      <c r="G112" s="132">
        <f t="shared" si="54"/>
        <v>4.0915438426970756E-2</v>
      </c>
      <c r="H112" s="132">
        <f t="shared" si="54"/>
        <v>8.8076454149080163E-2</v>
      </c>
      <c r="I112" s="132">
        <f t="shared" si="54"/>
        <v>6.0321043504476023E-3</v>
      </c>
      <c r="J112" s="132">
        <f t="shared" si="54"/>
        <v>2.1926936866516467E-2</v>
      </c>
      <c r="K112" s="132">
        <f t="shared" si="54"/>
        <v>0.13616029795881437</v>
      </c>
      <c r="L112" s="132">
        <f t="shared" ref="L112:M112" si="59">IFERROR(L97/L91,"n.m.")</f>
        <v>8.1655412395513369E-2</v>
      </c>
      <c r="M112" s="132">
        <f t="shared" si="59"/>
        <v>0.10820226383555542</v>
      </c>
    </row>
    <row r="113" spans="1:13" ht="15" customHeight="1" outlineLevel="1" x14ac:dyDescent="0.2">
      <c r="B113" s="48" t="s">
        <v>201</v>
      </c>
      <c r="C113" s="131">
        <f t="shared" ref="C113:K118" si="60">IFERROR(C98/C86,"n.m.")</f>
        <v>0.19052346741408055</v>
      </c>
      <c r="D113" s="131">
        <f t="shared" si="60"/>
        <v>7.9808623260048367E-2</v>
      </c>
      <c r="E113" s="131">
        <f t="shared" si="60"/>
        <v>9.0616197706372775E-2</v>
      </c>
      <c r="F113" s="131">
        <f t="shared" si="60"/>
        <v>-3.6811730367396898E-2</v>
      </c>
      <c r="G113" s="131">
        <f t="shared" si="60"/>
        <v>-5.0548881170961422E-2</v>
      </c>
      <c r="H113" s="131">
        <f t="shared" si="60"/>
        <v>-6.8753733907837037E-3</v>
      </c>
      <c r="I113" s="131">
        <f t="shared" si="60"/>
        <v>-0.20263605068844559</v>
      </c>
      <c r="J113" s="131">
        <f>IFERROR(J98/J86,"n.m.")</f>
        <v>-0.14859454553733356</v>
      </c>
      <c r="K113" s="131">
        <f t="shared" si="60"/>
        <v>5.5685150260645277E-3</v>
      </c>
      <c r="L113" s="131">
        <f t="shared" ref="L113:M113" si="61">IFERROR(L98/L86,"n.m.")</f>
        <v>-3.5603073075718937E-2</v>
      </c>
      <c r="M113" s="131">
        <f t="shared" si="61"/>
        <v>2.0980854038405106E-2</v>
      </c>
    </row>
    <row r="114" spans="1:13" ht="15" customHeight="1" outlineLevel="1" x14ac:dyDescent="0.2">
      <c r="B114" s="101" t="s">
        <v>202</v>
      </c>
      <c r="C114" s="131">
        <f t="shared" si="60"/>
        <v>9.0233048116381484E-2</v>
      </c>
      <c r="D114" s="131">
        <f t="shared" si="60"/>
        <v>0.15009645497482338</v>
      </c>
      <c r="E114" s="131">
        <f t="shared" si="60"/>
        <v>9.967198155934795E-2</v>
      </c>
      <c r="F114" s="131">
        <f t="shared" si="60"/>
        <v>3.6080991407858268E-2</v>
      </c>
      <c r="G114" s="131">
        <f t="shared" si="60"/>
        <v>8.0146103546537076E-2</v>
      </c>
      <c r="H114" s="131">
        <f t="shared" si="60"/>
        <v>6.7005565312131588E-2</v>
      </c>
      <c r="I114" s="131">
        <f t="shared" si="60"/>
        <v>0.12371020427456013</v>
      </c>
      <c r="J114" s="131">
        <f t="shared" si="60"/>
        <v>0.18701285432643916</v>
      </c>
      <c r="K114" s="131">
        <f t="shared" si="60"/>
        <v>0.19885781508599062</v>
      </c>
      <c r="L114" s="131">
        <f t="shared" ref="L114:M114" si="62">IFERROR(L99/L87,"n.m.")</f>
        <v>0.14322268753773154</v>
      </c>
      <c r="M114" s="131">
        <f t="shared" si="62"/>
        <v>0.21498623744980006</v>
      </c>
    </row>
    <row r="115" spans="1:13" ht="15" customHeight="1" outlineLevel="1" x14ac:dyDescent="0.2">
      <c r="B115" s="101" t="s">
        <v>203</v>
      </c>
      <c r="C115" s="131">
        <f t="shared" si="60"/>
        <v>-0.52449500812630589</v>
      </c>
      <c r="D115" s="131">
        <f t="shared" si="60"/>
        <v>-4.7016884907457191E-3</v>
      </c>
      <c r="E115" s="131">
        <f t="shared" si="60"/>
        <v>-0.11827065787233788</v>
      </c>
      <c r="F115" s="131">
        <f t="shared" si="60"/>
        <v>-0.15162454324956867</v>
      </c>
      <c r="G115" s="131">
        <f t="shared" si="60"/>
        <v>-1.3249042827887099</v>
      </c>
      <c r="H115" s="131">
        <f t="shared" si="60"/>
        <v>-6.1705333095570081E-2</v>
      </c>
      <c r="I115" s="131">
        <f t="shared" si="60"/>
        <v>-0.24486449535779373</v>
      </c>
      <c r="J115" s="131">
        <f t="shared" si="60"/>
        <v>-0.44113497689993197</v>
      </c>
      <c r="K115" s="131">
        <f t="shared" si="60"/>
        <v>-5.7672118676302784</v>
      </c>
      <c r="L115" s="131">
        <f t="shared" ref="L115:M115" si="63">IFERROR(L100/L88,"n.m.")</f>
        <v>-0.39410101612431753</v>
      </c>
      <c r="M115" s="131">
        <f t="shared" si="63"/>
        <v>-0.32887878207524196</v>
      </c>
    </row>
    <row r="116" spans="1:13" ht="15" customHeight="1" outlineLevel="1" x14ac:dyDescent="0.2">
      <c r="B116" s="101" t="s">
        <v>212</v>
      </c>
      <c r="C116" s="131">
        <f t="shared" si="60"/>
        <v>0.1676513646345289</v>
      </c>
      <c r="D116" s="131">
        <f t="shared" si="60"/>
        <v>0.24980590039955416</v>
      </c>
      <c r="E116" s="131">
        <f t="shared" si="60"/>
        <v>0.14689084362458987</v>
      </c>
      <c r="F116" s="131">
        <f t="shared" si="60"/>
        <v>0.25884185464710285</v>
      </c>
      <c r="G116" s="131">
        <f t="shared" si="60"/>
        <v>0.18483727886417883</v>
      </c>
      <c r="H116" s="131">
        <f t="shared" si="60"/>
        <v>0.32311277396756483</v>
      </c>
      <c r="I116" s="131">
        <f t="shared" si="60"/>
        <v>0.34487362477794337</v>
      </c>
      <c r="J116" s="131">
        <f t="shared" si="60"/>
        <v>0.20833746640832226</v>
      </c>
      <c r="K116" s="131">
        <f t="shared" si="60"/>
        <v>0.27100257243433523</v>
      </c>
      <c r="L116" s="131">
        <f t="shared" ref="L116:M116" si="64">IFERROR(L101/L89,"n.m.")</f>
        <v>0.16337608678509405</v>
      </c>
      <c r="M116" s="131">
        <f t="shared" si="64"/>
        <v>0.14664566646125368</v>
      </c>
    </row>
    <row r="117" spans="1:13" ht="15" customHeight="1" outlineLevel="1" x14ac:dyDescent="0.2">
      <c r="B117" s="101" t="s">
        <v>213</v>
      </c>
      <c r="C117" s="131">
        <f t="shared" si="60"/>
        <v>2.9998075257434316</v>
      </c>
      <c r="D117" s="131">
        <f t="shared" si="60"/>
        <v>1.4028539440315129</v>
      </c>
      <c r="E117" s="131">
        <f t="shared" si="60"/>
        <v>-0.98502530818507972</v>
      </c>
      <c r="F117" s="131">
        <f t="shared" si="60"/>
        <v>0.3967427732404657</v>
      </c>
      <c r="G117" s="131">
        <f t="shared" si="60"/>
        <v>3.8932628797886388</v>
      </c>
      <c r="H117" s="131">
        <f t="shared" si="60"/>
        <v>2.7840910014299238</v>
      </c>
      <c r="I117" s="131">
        <f t="shared" si="60"/>
        <v>8.7814073768854932</v>
      </c>
      <c r="J117" s="131">
        <f t="shared" si="60"/>
        <v>-10.287753254012772</v>
      </c>
      <c r="K117" s="131">
        <f t="shared" si="60"/>
        <v>7.4670037485833829</v>
      </c>
      <c r="L117" s="131">
        <f t="shared" ref="L117:M117" si="65">IFERROR(L102/L90,"n.m.")</f>
        <v>13.104055943779638</v>
      </c>
      <c r="M117" s="131">
        <f t="shared" si="65"/>
        <v>3.6244108511289088</v>
      </c>
    </row>
    <row r="118" spans="1:13" ht="15" customHeight="1" outlineLevel="1" x14ac:dyDescent="0.25">
      <c r="A118" s="75" t="s">
        <v>79</v>
      </c>
      <c r="B118" s="49" t="s">
        <v>234</v>
      </c>
      <c r="C118" s="132">
        <f t="shared" si="60"/>
        <v>0.17022533950026575</v>
      </c>
      <c r="D118" s="132">
        <f t="shared" si="60"/>
        <v>0.1031980553894388</v>
      </c>
      <c r="E118" s="132">
        <f t="shared" si="60"/>
        <v>8.5528974419534887E-2</v>
      </c>
      <c r="F118" s="132">
        <f t="shared" si="60"/>
        <v>-9.6007349627657279E-3</v>
      </c>
      <c r="G118" s="132">
        <f t="shared" si="60"/>
        <v>1.5340807560706032E-2</v>
      </c>
      <c r="H118" s="132">
        <f t="shared" si="60"/>
        <v>3.7322083822256928E-2</v>
      </c>
      <c r="I118" s="132">
        <f t="shared" si="60"/>
        <v>-7.5471278884842157E-3</v>
      </c>
      <c r="J118" s="132">
        <f t="shared" si="60"/>
        <v>-6.7056755069481735E-2</v>
      </c>
      <c r="K118" s="132">
        <f t="shared" si="60"/>
        <v>0.10799846250888057</v>
      </c>
      <c r="L118" s="132">
        <f t="shared" ref="L118:M118" si="66">IFERROR(L103/L91,"n.m.")</f>
        <v>8.5325111691338551E-2</v>
      </c>
      <c r="M118" s="132">
        <f t="shared" si="66"/>
        <v>0.13385925269919657</v>
      </c>
    </row>
    <row r="119" spans="1:13" x14ac:dyDescent="0.2">
      <c r="F119" s="92"/>
    </row>
    <row r="120" spans="1:13" x14ac:dyDescent="0.2">
      <c r="F120" s="92"/>
    </row>
    <row r="121" spans="1:13" ht="20.100000000000001" customHeight="1" outlineLevel="1" x14ac:dyDescent="0.2">
      <c r="B121" s="34" t="s">
        <v>183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5" customHeight="1" outlineLevel="1" x14ac:dyDescent="0.2">
      <c r="B122" s="36" t="s">
        <v>132</v>
      </c>
      <c r="C122" s="37" t="s">
        <v>187</v>
      </c>
      <c r="D122" s="37" t="s">
        <v>190</v>
      </c>
      <c r="E122" s="37" t="s">
        <v>192</v>
      </c>
      <c r="F122" s="37">
        <v>2019</v>
      </c>
      <c r="G122" s="37" t="s">
        <v>197</v>
      </c>
      <c r="H122" s="37" t="s">
        <v>216</v>
      </c>
      <c r="I122" s="37" t="s">
        <v>222</v>
      </c>
      <c r="J122" s="37">
        <v>2020</v>
      </c>
      <c r="K122" s="37" t="s">
        <v>235</v>
      </c>
      <c r="L122" s="37" t="s">
        <v>238</v>
      </c>
      <c r="M122" s="37" t="s">
        <v>242</v>
      </c>
    </row>
    <row r="123" spans="1:13" ht="15" customHeight="1" outlineLevel="1" x14ac:dyDescent="0.2">
      <c r="B123" s="48" t="s">
        <v>201</v>
      </c>
      <c r="C123" s="3">
        <f>'Financial Data - New Segment'!C182/'Financial Data - New - USD'!C$12</f>
        <v>6.0661209420276396</v>
      </c>
      <c r="D123" s="3">
        <f>'Financial Data - New Segment'!D182/'Financial Data - New - USD'!D$12</f>
        <v>9.2366140541310013</v>
      </c>
      <c r="E123" s="3">
        <f>'Financial Data - New Segment'!E182/'Financial Data - New - USD'!E$12</f>
        <v>11.363023181511565</v>
      </c>
      <c r="F123" s="3">
        <f>'Financial Data - New Segment'!F182/'Financial Data - New - USD'!F$12</f>
        <v>18.994216391592648</v>
      </c>
      <c r="G123" s="3">
        <f>'Financial Data - New Segment'!G182/'Financial Data - New - USD'!G$12</f>
        <v>6.7109863593834751</v>
      </c>
      <c r="H123" s="3">
        <f>'Financial Data - New Segment'!H182/'Financial Data - New - USD'!H$12</f>
        <v>17.360460984690491</v>
      </c>
      <c r="I123" s="3">
        <f>'Financial Data - New Segment'!I182/'Financial Data - New - USD'!I$12</f>
        <v>20.058383724047598</v>
      </c>
      <c r="J123" s="3">
        <f>'Financial Data - New Segment'!J182/'Financial Data - New - USD'!J$12</f>
        <v>34.839792100979572</v>
      </c>
      <c r="K123" s="3">
        <f>'Financial Data - New Segment'!K182/'Financial Data - New - USD'!K$12</f>
        <v>9.5843733043950099</v>
      </c>
      <c r="L123" s="3">
        <f>'Financial Data - New Segment'!L182/'Financial Data - New - USD'!L$12</f>
        <v>15.7735757945433</v>
      </c>
      <c r="M123" s="3">
        <f>'Financial Data - New Segment'!M182/'Financial Data - New - USD'!M$12</f>
        <v>18.738196470064764</v>
      </c>
    </row>
    <row r="124" spans="1:13" ht="15" customHeight="1" outlineLevel="1" x14ac:dyDescent="0.2">
      <c r="B124" s="101" t="s">
        <v>202</v>
      </c>
      <c r="C124" s="3">
        <f>'Financial Data - New Segment'!C183/'Financial Data - New - USD'!C$12</f>
        <v>0.90827723806149763</v>
      </c>
      <c r="D124" s="3">
        <f>'Financial Data - New Segment'!D183/'Financial Data - New - USD'!D$12</f>
        <v>4.808619677206968</v>
      </c>
      <c r="E124" s="3">
        <f>'Financial Data - New Segment'!E183/'Financial Data - New - USD'!E$12</f>
        <v>5.2272001136000457</v>
      </c>
      <c r="F124" s="3">
        <f>'Financial Data - New Segment'!F183/'Financial Data - New - USD'!F$12</f>
        <v>10.084638171815509</v>
      </c>
      <c r="G124" s="3">
        <f>'Financial Data - New Segment'!G183/'Financial Data - New - USD'!G$12</f>
        <v>3.4598906780913046</v>
      </c>
      <c r="H124" s="3">
        <f>'Financial Data - New Segment'!H183/'Financial Data - New - USD'!H$12</f>
        <v>19.799941295515289</v>
      </c>
      <c r="I124" s="3">
        <f>'Financial Data - New Segment'!I183/'Financial Data - New - USD'!I$12</f>
        <v>27.705013255488449</v>
      </c>
      <c r="J124" s="3">
        <f>'Financial Data - New Segment'!J183/'Financial Data - New - USD'!J$12</f>
        <v>34.345032412828097</v>
      </c>
      <c r="K124" s="3">
        <f>'Financial Data - New Segment'!K183/'Financial Data - New - USD'!K$12</f>
        <v>3.2269397721106894</v>
      </c>
      <c r="L124" s="3">
        <f>'Financial Data - New Segment'!L183/'Financial Data - New - USD'!L$12</f>
        <v>10.525586773918866</v>
      </c>
      <c r="M124" s="3">
        <f>'Financial Data - New Segment'!M183/'Financial Data - New - USD'!M$12</f>
        <v>16.086419142730012</v>
      </c>
    </row>
    <row r="125" spans="1:13" ht="15" customHeight="1" outlineLevel="1" x14ac:dyDescent="0.2">
      <c r="B125" s="101" t="s">
        <v>203</v>
      </c>
      <c r="C125" s="3">
        <f>'Financial Data - New Segment'!C184/'Financial Data - New - USD'!C$12</f>
        <v>2.98364690745679</v>
      </c>
      <c r="D125" s="3">
        <f>'Financial Data - New Segment'!D184/'Financial Data - New - USD'!D$12</f>
        <v>2.8473050162820077</v>
      </c>
      <c r="E125" s="3">
        <f>'Financial Data - New Segment'!E184/'Financial Data - New - USD'!E$12</f>
        <v>7.349923674961822</v>
      </c>
      <c r="F125" s="3">
        <f>'Financial Data - New Segment'!F184/'Financial Data - New - USD'!F$12</f>
        <v>9.1040696854281471</v>
      </c>
      <c r="G125" s="3">
        <f>'Financial Data - New Segment'!G184/'Financial Data - New - USD'!G$12</f>
        <v>0.86045862674611528</v>
      </c>
      <c r="H125" s="3">
        <f>'Financial Data - New Segment'!H184/'Financial Data - New - USD'!H$12</f>
        <v>4.3157065393706269</v>
      </c>
      <c r="I125" s="3">
        <f>'Financial Data - New Segment'!I184/'Financial Data - New - USD'!I$12</f>
        <v>5.2738971135801886</v>
      </c>
      <c r="J125" s="3">
        <f>'Financial Data - New Segment'!J184/'Financial Data - New - USD'!J$12</f>
        <v>6.1083188165748146</v>
      </c>
      <c r="K125" s="3">
        <f>'Financial Data - New Segment'!K184/'Financial Data - New - USD'!K$12</f>
        <v>0.26994031470428648</v>
      </c>
      <c r="L125" s="3">
        <f>'Financial Data - New Segment'!L184/'Financial Data - New - USD'!L$12</f>
        <v>1.3076131295032551</v>
      </c>
      <c r="M125" s="3">
        <f>'Financial Data - New Segment'!M184/'Financial Data - New - USD'!M$12</f>
        <v>1.8315864933010335</v>
      </c>
    </row>
    <row r="126" spans="1:13" ht="15" customHeight="1" outlineLevel="1" x14ac:dyDescent="0.2">
      <c r="B126" s="101" t="s">
        <v>212</v>
      </c>
      <c r="C126" s="3">
        <f>'Financial Data - New Segment'!C185/'Financial Data - New - USD'!C$12</f>
        <v>0.70502899550616349</v>
      </c>
      <c r="D126" s="3">
        <f>'Financial Data - New Segment'!D185/'Financial Data - New - USD'!D$12</f>
        <v>2.0154100752709216</v>
      </c>
      <c r="E126" s="3">
        <f>'Financial Data - New Segment'!E185/'Financial Data - New - USD'!E$12</f>
        <v>3.0858390429195151</v>
      </c>
      <c r="F126" s="3">
        <f>'Financial Data - New Segment'!F185/'Financial Data - New - USD'!F$12</f>
        <v>10.968930737762754</v>
      </c>
      <c r="G126" s="3">
        <f>'Financial Data - New Segment'!G185/'Financial Data - New - USD'!G$12</f>
        <v>0.80776743651614524</v>
      </c>
      <c r="H126" s="3">
        <f>'Financial Data - New Segment'!H185/'Financial Data - New - USD'!H$12</f>
        <v>2.0535755665755207</v>
      </c>
      <c r="I126" s="3">
        <f>'Financial Data - New Segment'!I185/'Financial Data - New - USD'!I$12</f>
        <v>3.0855500282982424</v>
      </c>
      <c r="J126" s="3">
        <f>'Financial Data - New Segment'!J185/'Financial Data - New - USD'!J$12</f>
        <v>4.4169974583773657</v>
      </c>
      <c r="K126" s="3">
        <f>'Financial Data - New Segment'!K185/'Financial Data - New - USD'!K$12</f>
        <v>0.44343461747151386</v>
      </c>
      <c r="L126" s="3">
        <f>'Financial Data - New Segment'!L185/'Financial Data - New - USD'!L$12</f>
        <v>1.881997128080001</v>
      </c>
      <c r="M126" s="3">
        <f>'Financial Data - New Segment'!M185/'Financial Data - New - USD'!M$12</f>
        <v>2.4029762199040885</v>
      </c>
    </row>
    <row r="127" spans="1:13" ht="15" customHeight="1" outlineLevel="1" x14ac:dyDescent="0.2">
      <c r="B127" s="101" t="s">
        <v>213</v>
      </c>
      <c r="C127" s="3">
        <f>'Financial Data - New Segment'!C186/'Financial Data - New - USD'!C$12</f>
        <v>0.2619851199910499</v>
      </c>
      <c r="D127" s="3">
        <f>'Financial Data - New Segment'!D186/'Financial Data - New - USD'!D$12</f>
        <v>1.6502660284356812</v>
      </c>
      <c r="E127" s="3">
        <f>'Financial Data - New Segment'!E186/'Financial Data - New - USD'!E$12</f>
        <v>2.0795910397955151</v>
      </c>
      <c r="F127" s="3">
        <f>'Financial Data - New Segment'!F186/'Financial Data - New - USD'!F$12</f>
        <v>2.2982790238397568</v>
      </c>
      <c r="G127" s="3">
        <f>'Financial Data - New Segment'!G186/'Financial Data - New - USD'!G$12</f>
        <v>9.9801382117824897E-2</v>
      </c>
      <c r="H127" s="3">
        <f>'Financial Data - New Segment'!H186/'Financial Data - New - USD'!H$12</f>
        <v>0.44337334507423037</v>
      </c>
      <c r="I127" s="3">
        <f>'Financial Data - New Segment'!I186/'Financial Data - New - USD'!I$12</f>
        <v>0.76583956390932884</v>
      </c>
      <c r="J127" s="3">
        <f>'Financial Data - New Segment'!J186/'Financial Data - New - USD'!J$12</f>
        <v>1.3541993888682657</v>
      </c>
      <c r="K127" s="3">
        <f>'Financial Data - New Segment'!K186/'Financial Data - New - USD'!K$12</f>
        <v>2.7943570265870861E-2</v>
      </c>
      <c r="L127" s="3">
        <f>'Financial Data - New Segment'!L186/'Financial Data - New - USD'!L$12</f>
        <v>0.11563925635062802</v>
      </c>
      <c r="M127" s="3">
        <f>'Financial Data - New Segment'!M186/'Financial Data - New - USD'!M$12</f>
        <v>0.12520393533395954</v>
      </c>
    </row>
    <row r="128" spans="1:13" ht="15" customHeight="1" outlineLevel="1" x14ac:dyDescent="0.2">
      <c r="B128" s="49" t="s">
        <v>151</v>
      </c>
      <c r="C128" s="50">
        <f>'Financial Data - New Segment'!C187/'Financial Data - New - USD'!C$12</f>
        <v>10.925059203043142</v>
      </c>
      <c r="D128" s="50">
        <f>'Financial Data - New Segment'!D187/'Financial Data - New - USD'!D$12</f>
        <v>20.558214851326582</v>
      </c>
      <c r="E128" s="50">
        <f>'Financial Data - New Segment'!E187/'Financial Data - New - USD'!E$12</f>
        <v>29.105577052788462</v>
      </c>
      <c r="F128" s="50">
        <f>'Financial Data - New Segment'!F187/'Financial Data - New - USD'!F$12</f>
        <v>51.450134010438816</v>
      </c>
      <c r="G128" s="50">
        <f>'Financial Data - New Segment'!G187/'Financial Data - New - USD'!G$12</f>
        <v>11.938904482854866</v>
      </c>
      <c r="H128" s="50">
        <f>'Financial Data - New Segment'!H187/'Financial Data - New - USD'!H$12</f>
        <v>43.973057731226156</v>
      </c>
      <c r="I128" s="50">
        <f>'Financial Data - New Segment'!I187/'Financial Data - New - USD'!I$12</f>
        <v>56.888683685323805</v>
      </c>
      <c r="J128" s="50">
        <f>'Financial Data - New Segment'!J187/'Financial Data - New - USD'!J$12</f>
        <v>81.064340177628111</v>
      </c>
      <c r="K128" s="50">
        <f>'Financial Data - New Segment'!K187/'Financial Data - New - USD'!K$12</f>
        <v>13.552631578947368</v>
      </c>
      <c r="L128" s="50">
        <f>'Financial Data - New Segment'!L187/'Financial Data - New - USD'!L$12</f>
        <v>29.604412082396053</v>
      </c>
      <c r="M128" s="50">
        <f>'Financial Data - New Segment'!M187/'Financial Data - New - USD'!M$12</f>
        <v>39.184382261333866</v>
      </c>
    </row>
    <row r="129" spans="1:13" ht="15" customHeight="1" outlineLevel="1" x14ac:dyDescent="0.2">
      <c r="B129" s="48" t="s">
        <v>201</v>
      </c>
      <c r="C129" s="3">
        <f>'Financial Data - New Segment'!C188/'Financial Data - New - USD'!C$12</f>
        <v>7.3523653247310303</v>
      </c>
      <c r="D129" s="3">
        <f>'Financial Data - New Segment'!D188/'Financial Data - New - USD'!D$12</f>
        <v>17.401996547858424</v>
      </c>
      <c r="E129" s="3">
        <f>'Financial Data - New Segment'!E188/'Financial Data - New - USD'!E$12</f>
        <v>25.924952962476425</v>
      </c>
      <c r="F129" s="3">
        <f>'Financial Data - New Segment'!F188/'Financial Data - New - USD'!F$12</f>
        <v>34.021723797432713</v>
      </c>
      <c r="G129" s="3">
        <f>'Financial Data - New Segment'!G188/'Financial Data - New - USD'!G$12</f>
        <v>7.3695441637530701</v>
      </c>
      <c r="H129" s="3">
        <f>'Financial Data - New Segment'!H188/'Financial Data - New - USD'!H$12</f>
        <v>13.81239282569403</v>
      </c>
      <c r="I129" s="3">
        <f>'Financial Data - New Segment'!I188/'Financial Data - New - USD'!I$12</f>
        <v>21.263292722885886</v>
      </c>
      <c r="J129" s="3">
        <f>'Financial Data - New Segment'!J188/'Financial Data - New - USD'!J$12</f>
        <v>28.313390638832601</v>
      </c>
      <c r="K129" s="3">
        <f>'Financial Data - New Segment'!K188/'Financial Data - New - USD'!K$12</f>
        <v>7.7101193705914266</v>
      </c>
      <c r="L129" s="3">
        <f>'Financial Data - New Segment'!L188/'Financial Data - New - USD'!L$12</f>
        <v>15.783614806907806</v>
      </c>
      <c r="M129" s="3">
        <f>'Financial Data - New Segment'!M188/'Financial Data - New - USD'!M$12</f>
        <v>23.574924605725023</v>
      </c>
    </row>
    <row r="130" spans="1:13" ht="15" customHeight="1" outlineLevel="1" x14ac:dyDescent="0.2">
      <c r="B130" s="101" t="s">
        <v>202</v>
      </c>
      <c r="C130" s="3">
        <f>'Financial Data - New Segment'!C189/'Financial Data - New - USD'!C$12</f>
        <v>3.3892110611795889</v>
      </c>
      <c r="D130" s="3">
        <f>'Financial Data - New Segment'!D189/'Financial Data - New - USD'!D$12</f>
        <v>5.6093741658807401</v>
      </c>
      <c r="E130" s="3">
        <f>'Financial Data - New Segment'!E189/'Financial Data - New - USD'!E$12</f>
        <v>8.1193865596932628</v>
      </c>
      <c r="F130" s="3">
        <f>'Financial Data - New Segment'!F189/'Financial Data - New - USD'!F$12</f>
        <v>11.50074058400341</v>
      </c>
      <c r="G130" s="3">
        <f>'Financial Data - New Segment'!G189/'Financial Data - New - USD'!G$12</f>
        <v>3.2394412435777538</v>
      </c>
      <c r="H130" s="3">
        <f>'Financial Data - New Segment'!H189/'Financial Data - New - USD'!H$12</f>
        <v>4.7484203859047449</v>
      </c>
      <c r="I130" s="3">
        <f>'Financial Data - New Segment'!I189/'Financial Data - New - USD'!I$12</f>
        <v>8.5058532662119344</v>
      </c>
      <c r="J130" s="3">
        <f>'Financial Data - New Segment'!J189/'Financial Data - New - USD'!J$12</f>
        <v>10.954536368049817</v>
      </c>
      <c r="K130" s="3">
        <f>'Financial Data - New Segment'!K189/'Financial Data - New - USD'!K$12</f>
        <v>2.716087900162778</v>
      </c>
      <c r="L130" s="3">
        <f>'Financial Data - New Segment'!L189/'Financial Data - New - USD'!L$12</f>
        <v>5.2112640260251695</v>
      </c>
      <c r="M130" s="3">
        <f>'Financial Data - New Segment'!M189/'Financial Data - New - USD'!M$12</f>
        <v>7.3143570475107538</v>
      </c>
    </row>
    <row r="131" spans="1:13" ht="15" customHeight="1" outlineLevel="1" x14ac:dyDescent="0.2">
      <c r="B131" s="101" t="s">
        <v>203</v>
      </c>
      <c r="C131" s="3">
        <f>'Financial Data - New Segment'!C190/'Financial Data - New - USD'!C$12</f>
        <v>0.46486042999123656</v>
      </c>
      <c r="D131" s="3">
        <f>'Financial Data - New Segment'!D190/'Financial Data - New - USD'!D$12</f>
        <v>0.96482018613093201</v>
      </c>
      <c r="E131" s="3">
        <f>'Financial Data - New Segment'!E190/'Financial Data - New - USD'!E$12</f>
        <v>1.1393730696865323</v>
      </c>
      <c r="F131" s="3">
        <f>'Financial Data - New Segment'!F190/'Financial Data - New - USD'!F$12</f>
        <v>1.7652348709267915</v>
      </c>
      <c r="G131" s="3">
        <f>'Financial Data - New Segment'!G190/'Financial Data - New - USD'!G$12</f>
        <v>0.47044533083829959</v>
      </c>
      <c r="H131" s="3">
        <f>'Financial Data - New Segment'!H190/'Financial Data - New - USD'!H$12</f>
        <v>1.0454032843614345</v>
      </c>
      <c r="I131" s="3">
        <f>'Financial Data - New Segment'!I190/'Financial Data - New - USD'!I$12</f>
        <v>1.5537219624080354</v>
      </c>
      <c r="J131" s="3">
        <f>'Financial Data - New Segment'!J190/'Financial Data - New - USD'!J$12</f>
        <v>2.1253962361138901</v>
      </c>
      <c r="K131" s="3">
        <f>'Financial Data - New Segment'!K190/'Financial Data - New - USD'!K$12</f>
        <v>0.71011937059142705</v>
      </c>
      <c r="L131" s="3">
        <f>'Financial Data - New Segment'!L190/'Financial Data - New - USD'!L$12</f>
        <v>1.4307498761007922</v>
      </c>
      <c r="M131" s="3">
        <f>'Financial Data - New Segment'!M190/'Financial Data - New - USD'!M$12</f>
        <v>1.9895436792406191</v>
      </c>
    </row>
    <row r="132" spans="1:13" ht="15" customHeight="1" outlineLevel="1" x14ac:dyDescent="0.2">
      <c r="B132" s="101" t="s">
        <v>212</v>
      </c>
      <c r="C132" s="3">
        <f>'Financial Data - New Segment'!C191/'Financial Data - New - USD'!C$12</f>
        <v>0.44061981390665544</v>
      </c>
      <c r="D132" s="3">
        <f>'Financial Data - New Segment'!D191/'Financial Data - New - USD'!D$12</f>
        <v>0.9390180970514439</v>
      </c>
      <c r="E132" s="3">
        <f>'Financial Data - New Segment'!E191/'Financial Data - New - USD'!E$12</f>
        <v>1.384145692072843</v>
      </c>
      <c r="F132" s="3">
        <f>'Financial Data - New Segment'!F191/'Financial Data - New - USD'!F$12</f>
        <v>2.0496543941317578</v>
      </c>
      <c r="G132" s="3">
        <f>'Financial Data - New Segment'!G191/'Financial Data - New - USD'!G$12</f>
        <v>0.50557279099161301</v>
      </c>
      <c r="H132" s="3">
        <f>'Financial Data - New Segment'!H191/'Financial Data - New - USD'!H$12</f>
        <v>0.99117887874434218</v>
      </c>
      <c r="I132" s="3">
        <f>'Financial Data - New Segment'!I191/'Financial Data - New - USD'!I$12</f>
        <v>1.4767209794167626</v>
      </c>
      <c r="J132" s="3">
        <f>'Financial Data - New Segment'!J191/'Financial Data - New - USD'!J$12</f>
        <v>1.9357740526030238</v>
      </c>
      <c r="K132" s="3">
        <f>'Financial Data - New Segment'!K191/'Financial Data - New - USD'!K$12</f>
        <v>0.46147585458491591</v>
      </c>
      <c r="L132" s="3">
        <f>'Financial Data - New Segment'!L191/'Financial Data - New - USD'!L$12</f>
        <v>0.86818395537086879</v>
      </c>
      <c r="M132" s="3">
        <f>'Financial Data - New Segment'!M191/'Financial Data - New - USD'!M$12</f>
        <v>1.349433924951797</v>
      </c>
    </row>
    <row r="133" spans="1:13" ht="15" customHeight="1" outlineLevel="1" x14ac:dyDescent="0.2">
      <c r="B133" s="101" t="s">
        <v>213</v>
      </c>
      <c r="C133" s="3">
        <f>'Financial Data - New Segment'!C192/'Financial Data - New - USD'!C$12</f>
        <v>0.36845736448563315</v>
      </c>
      <c r="D133" s="3">
        <f>'Financial Data - New Segment'!D192/'Financial Data - New - USD'!D$12</f>
        <v>0.62636795558481762</v>
      </c>
      <c r="E133" s="3">
        <f>'Financial Data - New Segment'!E192/'Financial Data - New - USD'!E$12</f>
        <v>1.1592530796265372</v>
      </c>
      <c r="F133" s="3">
        <f>'Financial Data - New Segment'!F192/'Financial Data - New - USD'!F$12</f>
        <v>1.640922556072792</v>
      </c>
      <c r="G133" s="3">
        <f>'Financial Data - New Segment'!G192/'Financial Data - New - USD'!G$12</f>
        <v>0.45353818880189173</v>
      </c>
      <c r="H133" s="3">
        <f>'Financial Data - New Segment'!H192/'Financial Data - New - USD'!H$12</f>
        <v>0.91409062118613971</v>
      </c>
      <c r="I133" s="3">
        <f>'Financial Data - New Segment'!I192/'Financial Data - New - USD'!I$12</f>
        <v>1.2953144082690453</v>
      </c>
      <c r="J133" s="3">
        <f>'Financial Data - New Segment'!J192/'Financial Data - New - USD'!J$12</f>
        <v>1.6516263529143009</v>
      </c>
      <c r="K133" s="3">
        <f>'Financial Data - New Segment'!K192/'Financial Data - New - USD'!K$12</f>
        <v>0.50013564839934888</v>
      </c>
      <c r="L133" s="3">
        <f>'Financial Data - New Segment'!L192/'Financial Data - New - USD'!L$12</f>
        <v>0.83793984217147377</v>
      </c>
      <c r="M133" s="3">
        <f>'Financial Data - New Segment'!M192/'Financial Data - New - USD'!M$12</f>
        <v>1.1898699757749545</v>
      </c>
    </row>
    <row r="134" spans="1:13" ht="15" customHeight="1" outlineLevel="1" x14ac:dyDescent="0.25">
      <c r="A134" s="75" t="s">
        <v>79</v>
      </c>
      <c r="B134" s="49" t="s">
        <v>152</v>
      </c>
      <c r="C134" s="50">
        <f>'Financial Data - New Segment'!C193/'Financial Data - New - USD'!C$12</f>
        <v>12.015513994294144</v>
      </c>
      <c r="D134" s="50">
        <f>'Financial Data - New Segment'!D193/'Financial Data - New - USD'!D$12</f>
        <v>25.541576952506354</v>
      </c>
      <c r="E134" s="50">
        <f>'Financial Data - New Segment'!E193/'Financial Data - New - USD'!E$12</f>
        <v>37.727111363555601</v>
      </c>
      <c r="F134" s="50">
        <f>'Financial Data - New Segment'!F193/'Financial Data - New - USD'!F$12</f>
        <v>50.978276202567464</v>
      </c>
      <c r="G134" s="50">
        <f>'Financial Data - New Segment'!G193/'Financial Data - New - USD'!G$12</f>
        <v>12.038541717962628</v>
      </c>
      <c r="H134" s="50">
        <f>'Financial Data - New Segment'!H193/'Financial Data - New - USD'!H$12</f>
        <v>21.511485995890691</v>
      </c>
      <c r="I134" s="50">
        <f>'Financial Data - New Segment'!I193/'Financial Data - New - USD'!I$12</f>
        <v>34.09490333919166</v>
      </c>
      <c r="J134" s="50">
        <f>'Financial Data - New Segment'!J193/'Financial Data - New - USD'!J$12</f>
        <v>44.980723648513631</v>
      </c>
      <c r="K134" s="50">
        <f>'Financial Data - New Segment'!K193/'Financial Data - New - USD'!K$12</f>
        <v>12.097938144329898</v>
      </c>
      <c r="L134" s="50">
        <f>'Financial Data - New Segment'!L193/'Financial Data - New - USD'!L$12</f>
        <v>24.13175250657611</v>
      </c>
      <c r="M134" s="50">
        <f>'Financial Data - New Segment'!M193/'Financial Data - New - USD'!M$12</f>
        <v>35.418129233203146</v>
      </c>
    </row>
    <row r="135" spans="1:13" x14ac:dyDescent="0.2">
      <c r="F135" s="92"/>
    </row>
    <row r="136" spans="1:13" x14ac:dyDescent="0.2">
      <c r="F136" s="92"/>
    </row>
    <row r="137" spans="1:13" ht="20.100000000000001" customHeight="1" outlineLevel="1" x14ac:dyDescent="0.2">
      <c r="B137" s="34" t="s">
        <v>150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outlineLevel="1" x14ac:dyDescent="0.2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216</v>
      </c>
      <c r="I138" s="37" t="s">
        <v>222</v>
      </c>
      <c r="J138" s="37">
        <v>2020</v>
      </c>
      <c r="K138" s="37" t="s">
        <v>235</v>
      </c>
      <c r="L138" s="37" t="s">
        <v>238</v>
      </c>
      <c r="M138" s="37" t="s">
        <v>242</v>
      </c>
    </row>
    <row r="139" spans="1:13" ht="15" customHeight="1" outlineLevel="1" x14ac:dyDescent="0.2">
      <c r="B139" s="48" t="s">
        <v>201</v>
      </c>
      <c r="C139" s="3"/>
      <c r="D139" s="3"/>
      <c r="E139" s="3"/>
      <c r="F139" s="3">
        <f>'Financial Data - New Segment'!F198/'Financial Data - New - USD'!F$13</f>
        <v>262.95914278980507</v>
      </c>
      <c r="G139" s="3">
        <f>'Financial Data - New Segment'!G198/'Financial Data - New - USD'!G$13</f>
        <v>193.00506445672141</v>
      </c>
      <c r="H139" s="3">
        <f>'Financial Data - New Segment'!H198/'Financial Data - New - USD'!H$13</f>
        <v>71.414749641928168</v>
      </c>
      <c r="I139" s="3">
        <f>'Financial Data - New Segment'!I198/'Financial Data - New - USD'!I$13</f>
        <v>-61.859631147540846</v>
      </c>
      <c r="J139" s="3">
        <f>'Financial Data - New Segment'!J198/'Financial Data - New - USD'!J$13</f>
        <v>-45.834479940058614</v>
      </c>
      <c r="K139" s="3">
        <f>'Financial Data - New Segment'!K198/'Financial Data - New - USD'!K$13</f>
        <v>-102.69949555608936</v>
      </c>
      <c r="L139" s="3">
        <f>'Financial Data - New Segment'!L198/'Financial Data - New - USD'!L$13</f>
        <v>-142.0553232550655</v>
      </c>
      <c r="M139" s="3">
        <f>'Financial Data - New Segment'!M198/'Financial Data - New - USD'!M$13</f>
        <v>-176.48738593059153</v>
      </c>
    </row>
    <row r="140" spans="1:13" ht="15" customHeight="1" outlineLevel="1" x14ac:dyDescent="0.2">
      <c r="B140" s="101" t="s">
        <v>202</v>
      </c>
      <c r="C140" s="3"/>
      <c r="D140" s="3"/>
      <c r="E140" s="3"/>
      <c r="F140" s="3">
        <f>'Financial Data - New Segment'!F199/'Financial Data - New - USD'!F$13</f>
        <v>95.893909295983306</v>
      </c>
      <c r="G140" s="3">
        <f>'Financial Data - New Segment'!G199/'Financial Data - New - USD'!G$13</f>
        <v>62.733118477593443</v>
      </c>
      <c r="H140" s="3">
        <f>'Financial Data - New Segment'!H199/'Financial Data - New - USD'!H$13</f>
        <v>21.447487650171034</v>
      </c>
      <c r="I140" s="3">
        <f>'Financial Data - New Segment'!I199/'Financial Data - New - USD'!I$13</f>
        <v>28.688524590163869</v>
      </c>
      <c r="J140" s="3">
        <f>'Financial Data - New Segment'!J199/'Financial Data - New - USD'!J$13</f>
        <v>47.296778148627517</v>
      </c>
      <c r="K140" s="3">
        <f>'Financial Data - New Segment'!K199/'Financial Data - New - USD'!K$13</f>
        <v>106.85923612779246</v>
      </c>
      <c r="L140" s="3">
        <f>'Financial Data - New Segment'!L199/'Financial Data - New - USD'!L$13</f>
        <v>118.91599273997116</v>
      </c>
      <c r="M140" s="3">
        <f>'Financial Data - New Segment'!M199/'Financial Data - New - USD'!M$13</f>
        <v>167.47401987945676</v>
      </c>
    </row>
    <row r="141" spans="1:13" ht="15" customHeight="1" outlineLevel="1" x14ac:dyDescent="0.2">
      <c r="B141" s="101" t="s">
        <v>203</v>
      </c>
      <c r="C141" s="3"/>
      <c r="D141" s="3"/>
      <c r="E141" s="3"/>
      <c r="F141" s="3">
        <f>'Financial Data - New Segment'!F200/'Financial Data - New - USD'!F$13</f>
        <v>-7.9228477155651333</v>
      </c>
      <c r="G141" s="3">
        <f>'Financial Data - New Segment'!G200/'Financial Data - New - USD'!G$13</f>
        <v>-9.2561387354204783</v>
      </c>
      <c r="H141" s="3">
        <f>'Financial Data - New Segment'!H200/'Financial Data - New - USD'!H$13</f>
        <v>-17.897898336792291</v>
      </c>
      <c r="I141" s="3">
        <f>'Financial Data - New Segment'!I200/'Financial Data - New - USD'!I$13</f>
        <v>-19.595286885245859</v>
      </c>
      <c r="J141" s="3">
        <f>'Financial Data - New Segment'!J200/'Financial Data - New - USD'!J$13</f>
        <v>-23.992616306791106</v>
      </c>
      <c r="K141" s="3">
        <f>'Financial Data - New Segment'!K200/'Financial Data - New - USD'!K$13</f>
        <v>-23.902882536632234</v>
      </c>
      <c r="L141" s="3">
        <f>'Financial Data - New Segment'!L200/'Financial Data - New - USD'!L$13</f>
        <v>-27.901943665854805</v>
      </c>
      <c r="M141" s="3">
        <f>'Financial Data - New Segment'!M200/'Financial Data - New - USD'!M$13</f>
        <v>-31.924620899437997</v>
      </c>
    </row>
    <row r="142" spans="1:13" ht="15" customHeight="1" outlineLevel="1" x14ac:dyDescent="0.2">
      <c r="B142" s="101" t="s">
        <v>212</v>
      </c>
      <c r="C142" s="3"/>
      <c r="D142" s="3"/>
      <c r="E142" s="3"/>
      <c r="F142" s="3">
        <f>'Financial Data - New Segment'!F201/'Financial Data - New - USD'!F$13</f>
        <v>1.9001380424901519</v>
      </c>
      <c r="G142" s="3">
        <f>'Financial Data - New Segment'!G201/'Financial Data - New - USD'!G$13</f>
        <v>6.9147022713320858</v>
      </c>
      <c r="H142" s="3">
        <f>'Financial Data - New Segment'!H201/'Financial Data - New - USD'!H$13</f>
        <v>23.147233345999865</v>
      </c>
      <c r="I142" s="3">
        <f>'Financial Data - New Segment'!I201/'Financial Data - New - USD'!I$13</f>
        <v>23.053278688524539</v>
      </c>
      <c r="J142" s="3">
        <f>'Financial Data - New Segment'!J201/'Financial Data - New - USD'!J$13</f>
        <v>24.316599686669864</v>
      </c>
      <c r="K142" s="3">
        <f>'Financial Data - New Segment'!K201/'Financial Data - New - USD'!K$13</f>
        <v>11.875582512611098</v>
      </c>
      <c r="L142" s="3">
        <f>'Financial Data - New Segment'!L201/'Financial Data - New - USD'!L$13</f>
        <v>10.326931029729325</v>
      </c>
      <c r="M142" s="3">
        <f>'Financial Data - New Segment'!M201/'Financial Data - New - USD'!M$13</f>
        <v>16.232967331199891</v>
      </c>
    </row>
    <row r="143" spans="1:13" ht="15" customHeight="1" outlineLevel="1" x14ac:dyDescent="0.2">
      <c r="B143" s="101" t="s">
        <v>213</v>
      </c>
      <c r="C143" s="3"/>
      <c r="D143" s="3"/>
      <c r="E143" s="3"/>
      <c r="F143" s="3">
        <f>'Financial Data - New Segment'!F202/'Financial Data - New - USD'!F$13</f>
        <v>207.59253897175179</v>
      </c>
      <c r="G143" s="3">
        <f>'Financial Data - New Segment'!G202/'Financial Data - New - USD'!G$13</f>
        <v>257.89217311233813</v>
      </c>
      <c r="H143" s="3">
        <f>'Financial Data - New Segment'!H202/'Financial Data - New - USD'!H$13</f>
        <v>167.70000876910964</v>
      </c>
      <c r="I143" s="3">
        <f>'Financial Data - New Segment'!I202/'Financial Data - New - USD'!I$13</f>
        <v>144.72336065573737</v>
      </c>
      <c r="J143" s="3">
        <f>'Financial Data - New Segment'!J202/'Financial Data - New - USD'!J$13</f>
        <v>140.75430828962618</v>
      </c>
      <c r="K143" s="3">
        <f>'Financial Data - New Segment'!K202/'Financial Data - New - USD'!K$13</f>
        <v>128.88674033149172</v>
      </c>
      <c r="L143" s="3">
        <f>'Financial Data - New Segment'!L202/'Financial Data - New - USD'!L$13</f>
        <v>122.5649611726321</v>
      </c>
      <c r="M143" s="3">
        <f>'Financial Data - New Segment'!M202/'Financial Data - New - USD'!M$13</f>
        <v>159.42351836983931</v>
      </c>
    </row>
    <row r="144" spans="1:13" ht="15" customHeight="1" outlineLevel="1" x14ac:dyDescent="0.25">
      <c r="A144" s="75" t="s">
        <v>79</v>
      </c>
      <c r="B144" s="49" t="s">
        <v>146</v>
      </c>
      <c r="C144" s="50"/>
      <c r="D144" s="50"/>
      <c r="E144" s="50"/>
      <c r="F144" s="50">
        <f>'Financial Data - New Segment'!F203/'Financial Data - New - USD'!F$13</f>
        <v>560.42271303996506</v>
      </c>
      <c r="G144" s="50">
        <f>'Financial Data - New Segment'!G203/'Financial Data - New - USD'!G$13</f>
        <v>511.28878146101766</v>
      </c>
      <c r="H144" s="50">
        <f>'Financial Data - New Segment'!H203/'Financial Data - New - USD'!H$13</f>
        <v>265.81158107041642</v>
      </c>
      <c r="I144" s="50">
        <f>'Financial Data - New Segment'!I203/'Financial Data - New - USD'!I$13</f>
        <v>115.13831967213089</v>
      </c>
      <c r="J144" s="50">
        <f>'Financial Data - New Segment'!J203/'Financial Data - New - USD'!J$13</f>
        <v>142.54058987807383</v>
      </c>
      <c r="K144" s="50">
        <f>'Financial Data - New Segment'!K203/'Financial Data - New - USD'!K$13</f>
        <v>121.01918087917369</v>
      </c>
      <c r="L144" s="50">
        <f>'Financial Data - New Segment'!L203/'Financial Data - New - USD'!L$13</f>
        <v>81.850618021412231</v>
      </c>
      <c r="M144" s="50">
        <f>'Financial Data - New Segment'!M203/'Financial Data - New - USD'!M$13</f>
        <v>134.71849875046649</v>
      </c>
    </row>
    <row r="145" spans="1:7" x14ac:dyDescent="0.2">
      <c r="A145" s="63"/>
      <c r="B145" s="2"/>
    </row>
    <row r="147" spans="1:7" x14ac:dyDescent="0.2">
      <c r="G147" s="3"/>
    </row>
    <row r="148" spans="1:7" ht="15" x14ac:dyDescent="0.25">
      <c r="C148"/>
    </row>
  </sheetData>
  <hyperlinks>
    <hyperlink ref="A28" location="'Financial Data - New - USD'!A1" display="Up" xr:uid="{B61D6501-94F8-453A-BD97-4ADB00EBEDF5}"/>
    <hyperlink ref="B4" location="'Financial Data - New - USD'!A44" display="Summary Consolidated Income Statement (Quarterly)" xr:uid="{958F1DE5-8DBF-4229-A69D-BC471CC184E3}"/>
    <hyperlink ref="B3" location="'Financial Data - New - USD'!A28" display="Summary Consolidated Income Statement (Cumulative)" xr:uid="{E6228B19-7FF3-4C69-8388-38D4385B3B58}"/>
    <hyperlink ref="B5" location="'Financial Data - New - USD'!A66" display="Consolidated Revenues, EBITDA &amp; Net Income (Cumulative)" xr:uid="{523D5479-8F99-4899-844E-39B7947E2D44}"/>
    <hyperlink ref="B7" location="'Financial Data - New - USD'!A103" display="Consolidated Revenues, EBITDA &amp; Net Income (Quarterly)" xr:uid="{E7C2C94B-96B9-4F57-934A-348A41808068}"/>
    <hyperlink ref="B10" location="'Financial Data - New - USD'!A144" display="Net Cash Position" xr:uid="{1A598183-7542-4F8D-8746-4AE1C3FDB8AC}"/>
    <hyperlink ref="B9" location="'Financial Data - New - USD'!A134" display="Segmental information related to property, plant and equipment, intangible assets, investment property" xr:uid="{4E6CE0BF-92E8-4E70-BD10-8AC326C5863C}"/>
    <hyperlink ref="A44" location="'Financial Data - New - USD'!A1" display="Up" xr:uid="{94D6A796-2620-4B92-A737-4AFFD74601CF}"/>
    <hyperlink ref="A66" location="'Financial Data - New - USD'!A1" display="Up" xr:uid="{6138C9EA-4F41-47C8-8398-4B4D15DDCEB5}"/>
    <hyperlink ref="A81" location="'Financial Data - New - USD'!A1" display="Up" xr:uid="{FE6E6609-1339-445C-8149-C62FD41180E2}"/>
    <hyperlink ref="A103" location="'Financial Data - New - USD'!A1" display="Up" xr:uid="{E935FF1E-9D6B-4ED8-B187-E0A169E4665A}"/>
    <hyperlink ref="A144" location="'Financial Data - New - USD'!A1" display="Up" xr:uid="{27E73DF2-3480-485C-96A3-04F8EF4210D3}"/>
    <hyperlink ref="A118" location="'Financial Data - New - USD'!A1" display="Up" xr:uid="{F120EF45-3086-41B7-A26F-EE1AC1F9EDE1}"/>
    <hyperlink ref="A134" location="'Financial Data - New - USD'!A1" display="Up" xr:uid="{B12D39ED-B82B-496B-81F4-C7B1C09DF05F}"/>
    <hyperlink ref="B6" location="'Financial Data - New - USD'!A81" display="Consolidated EBITDA &amp; Net Income Margin (Cumulative)" xr:uid="{8B527C40-8E02-4E5C-8172-D338E4944387}"/>
    <hyperlink ref="B8" location="'Financial Data - New - USD'!A118" display="Consolidated EBITDA &amp; Net Income Margin (Quarterly)" xr:uid="{308E1C1D-772B-4337-BA1F-3BB9BDD1287F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79998168889431442"/>
    <pageSetUpPr fitToPage="1"/>
  </sheetPr>
  <dimension ref="A2:AX194"/>
  <sheetViews>
    <sheetView zoomScale="80" zoomScaleNormal="80" workbookViewId="0">
      <pane xSplit="2" topLeftCell="AB1" activePane="topRight" state="frozen"/>
      <selection pane="topRight" activeCell="A27" sqref="A27"/>
    </sheetView>
  </sheetViews>
  <sheetFormatPr defaultColWidth="9.140625" defaultRowHeight="12.75" x14ac:dyDescent="0.2"/>
  <cols>
    <col min="1" max="1" width="8.7109375" style="64" customWidth="1"/>
    <col min="2" max="2" width="88.710937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4.95" customHeight="1" x14ac:dyDescent="0.25">
      <c r="B2" s="129" t="s">
        <v>9</v>
      </c>
      <c r="C2" s="57"/>
    </row>
    <row r="3" spans="2:48" ht="15" customHeight="1" x14ac:dyDescent="0.2">
      <c r="B3" s="63" t="s">
        <v>130</v>
      </c>
    </row>
    <row r="4" spans="2:48" ht="15" customHeight="1" x14ac:dyDescent="0.2">
      <c r="B4" s="63" t="s">
        <v>131</v>
      </c>
    </row>
    <row r="5" spans="2:48" ht="15" customHeight="1" x14ac:dyDescent="0.2">
      <c r="B5" s="63" t="s">
        <v>162</v>
      </c>
    </row>
    <row r="6" spans="2:48" ht="15" customHeight="1" x14ac:dyDescent="0.2">
      <c r="B6" s="63" t="s">
        <v>164</v>
      </c>
    </row>
    <row r="7" spans="2:48" ht="15" customHeight="1" x14ac:dyDescent="0.2">
      <c r="B7" s="63" t="s">
        <v>165</v>
      </c>
    </row>
    <row r="8" spans="2:48" ht="15" customHeight="1" x14ac:dyDescent="0.2">
      <c r="B8" s="63" t="s">
        <v>177</v>
      </c>
    </row>
    <row r="9" spans="2:48" ht="15" customHeight="1" x14ac:dyDescent="0.2">
      <c r="B9" s="63" t="s">
        <v>153</v>
      </c>
    </row>
    <row r="10" spans="2:48" ht="15" customHeight="1" x14ac:dyDescent="0.2">
      <c r="B10" s="63" t="s">
        <v>183</v>
      </c>
    </row>
    <row r="11" spans="2:48" ht="15" customHeight="1" x14ac:dyDescent="0.2">
      <c r="B11" s="63" t="s">
        <v>150</v>
      </c>
    </row>
    <row r="12" spans="2:48" ht="15" customHeight="1" x14ac:dyDescent="0.2">
      <c r="B12" s="63" t="s">
        <v>136</v>
      </c>
    </row>
    <row r="14" spans="2:48" ht="20.100000000000001" customHeight="1" x14ac:dyDescent="0.2"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2:48" x14ac:dyDescent="0.2">
      <c r="B15" s="33" t="s">
        <v>121</v>
      </c>
      <c r="C15" s="37" t="s">
        <v>84</v>
      </c>
      <c r="D15" s="37">
        <v>2008</v>
      </c>
      <c r="E15" s="37" t="s">
        <v>85</v>
      </c>
      <c r="F15" s="37" t="s">
        <v>86</v>
      </c>
      <c r="G15" s="37" t="s">
        <v>87</v>
      </c>
      <c r="H15" s="37">
        <v>2009</v>
      </c>
      <c r="I15" s="37" t="s">
        <v>88</v>
      </c>
      <c r="J15" s="37" t="s">
        <v>89</v>
      </c>
      <c r="K15" s="37" t="s">
        <v>90</v>
      </c>
      <c r="L15" s="37">
        <v>2010</v>
      </c>
      <c r="M15" s="37" t="s">
        <v>91</v>
      </c>
      <c r="N15" s="37" t="s">
        <v>92</v>
      </c>
      <c r="O15" s="37" t="s">
        <v>93</v>
      </c>
      <c r="P15" s="37">
        <v>2011</v>
      </c>
      <c r="Q15" s="37" t="s">
        <v>94</v>
      </c>
      <c r="R15" s="37" t="s">
        <v>95</v>
      </c>
      <c r="S15" s="37" t="s">
        <v>96</v>
      </c>
      <c r="T15" s="37">
        <v>2012</v>
      </c>
      <c r="U15" s="37" t="s">
        <v>97</v>
      </c>
      <c r="V15" s="37" t="s">
        <v>98</v>
      </c>
      <c r="W15" s="37" t="s">
        <v>99</v>
      </c>
      <c r="X15" s="37">
        <v>2013</v>
      </c>
      <c r="Y15" s="37" t="s">
        <v>100</v>
      </c>
      <c r="Z15" s="37" t="s">
        <v>101</v>
      </c>
      <c r="AA15" s="37" t="s">
        <v>102</v>
      </c>
      <c r="AB15" s="37">
        <v>2014</v>
      </c>
      <c r="AC15" s="37" t="s">
        <v>103</v>
      </c>
      <c r="AD15" s="37" t="s">
        <v>104</v>
      </c>
      <c r="AE15" s="37" t="s">
        <v>105</v>
      </c>
      <c r="AF15" s="37">
        <v>2015</v>
      </c>
      <c r="AG15" s="37" t="s">
        <v>106</v>
      </c>
      <c r="AH15" s="37" t="s">
        <v>107</v>
      </c>
      <c r="AI15" s="37" t="s">
        <v>108</v>
      </c>
      <c r="AJ15" s="37">
        <v>2016</v>
      </c>
      <c r="AK15" s="37" t="s">
        <v>109</v>
      </c>
      <c r="AL15" s="37" t="s">
        <v>110</v>
      </c>
      <c r="AM15" s="37" t="s">
        <v>111</v>
      </c>
      <c r="AN15" s="37">
        <v>2017</v>
      </c>
      <c r="AO15" s="37" t="s">
        <v>112</v>
      </c>
      <c r="AP15" s="37" t="s">
        <v>113</v>
      </c>
      <c r="AQ15" s="37" t="s">
        <v>114</v>
      </c>
      <c r="AR15" s="37">
        <v>2018</v>
      </c>
      <c r="AS15" s="37" t="s">
        <v>187</v>
      </c>
      <c r="AT15" s="37" t="s">
        <v>190</v>
      </c>
      <c r="AU15" s="37" t="s">
        <v>192</v>
      </c>
      <c r="AV15" s="37">
        <v>2019</v>
      </c>
    </row>
    <row r="16" spans="2:48" ht="15" customHeight="1" x14ac:dyDescent="0.2">
      <c r="B16" s="10" t="s">
        <v>122</v>
      </c>
      <c r="C16" s="11">
        <v>1778.875</v>
      </c>
      <c r="D16" s="43">
        <v>2517.8910000000001</v>
      </c>
      <c r="E16" s="43">
        <v>643.98500000000001</v>
      </c>
      <c r="F16" s="43">
        <v>1203.22</v>
      </c>
      <c r="G16" s="43">
        <v>1801.9559999999999</v>
      </c>
      <c r="H16" s="43">
        <v>2350.0259999999998</v>
      </c>
      <c r="I16" s="43">
        <v>602.01300000000003</v>
      </c>
      <c r="J16" s="43">
        <v>1103.3440000000001</v>
      </c>
      <c r="K16" s="43">
        <v>1638.585</v>
      </c>
      <c r="L16" s="43">
        <v>2261.7040000000002</v>
      </c>
      <c r="M16" s="43">
        <v>689.84699999999998</v>
      </c>
      <c r="N16" s="43">
        <v>1393.2470000000001</v>
      </c>
      <c r="O16" s="43">
        <v>2188.2759999999998</v>
      </c>
      <c r="P16" s="43">
        <v>3211.241</v>
      </c>
      <c r="Q16" s="43">
        <v>1000.179</v>
      </c>
      <c r="R16" s="43">
        <v>1970.548</v>
      </c>
      <c r="S16" s="43">
        <v>2923.828</v>
      </c>
      <c r="T16" s="43">
        <v>3948.7370000000001</v>
      </c>
      <c r="U16" s="43">
        <v>1058.53</v>
      </c>
      <c r="V16" s="43">
        <v>1964.43</v>
      </c>
      <c r="W16" s="43">
        <v>2870.5120000000002</v>
      </c>
      <c r="X16" s="43">
        <v>3846.0360000000001</v>
      </c>
      <c r="Y16" s="43">
        <v>1148.5540000000001</v>
      </c>
      <c r="Z16" s="43">
        <v>2142.1309999999999</v>
      </c>
      <c r="AA16" s="43">
        <v>3196.8690000000001</v>
      </c>
      <c r="AB16" s="43">
        <v>4474.7550000000001</v>
      </c>
      <c r="AC16" s="43">
        <v>1091.192</v>
      </c>
      <c r="AD16" s="43">
        <v>2040.182</v>
      </c>
      <c r="AE16" s="43">
        <v>2846.6350000000002</v>
      </c>
      <c r="AF16" s="43">
        <v>3888.172</v>
      </c>
      <c r="AG16" s="43">
        <v>1373.471</v>
      </c>
      <c r="AH16" s="43">
        <v>2438.2890000000002</v>
      </c>
      <c r="AI16" s="43">
        <v>3413.893</v>
      </c>
      <c r="AJ16" s="43">
        <v>4737.3969999999999</v>
      </c>
      <c r="AK16" s="43">
        <v>1636.9749999999999</v>
      </c>
      <c r="AL16" s="43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13">
        <v>14603.353999999999</v>
      </c>
    </row>
    <row r="17" spans="1:48" ht="15" customHeight="1" x14ac:dyDescent="0.2">
      <c r="B17" s="40" t="s">
        <v>123</v>
      </c>
      <c r="C17" s="41">
        <v>366.29599999999999</v>
      </c>
      <c r="D17" s="41">
        <v>315.99</v>
      </c>
      <c r="E17" s="41">
        <v>114.462</v>
      </c>
      <c r="F17" s="41">
        <v>125.795</v>
      </c>
      <c r="G17" s="41">
        <v>203.96600000000001</v>
      </c>
      <c r="H17" s="41">
        <v>280.39699999999999</v>
      </c>
      <c r="I17" s="41">
        <v>136.45699999999999</v>
      </c>
      <c r="J17" s="41">
        <v>226.55600000000001</v>
      </c>
      <c r="K17" s="41">
        <v>298.916</v>
      </c>
      <c r="L17" s="41">
        <v>402.37799999999999</v>
      </c>
      <c r="M17" s="41">
        <v>130.01900000000001</v>
      </c>
      <c r="N17" s="41">
        <v>257.923</v>
      </c>
      <c r="O17" s="41">
        <v>373.50799999999998</v>
      </c>
      <c r="P17" s="41">
        <v>501.459</v>
      </c>
      <c r="Q17" s="41">
        <v>130.18799999999999</v>
      </c>
      <c r="R17" s="41">
        <v>250.20400000000001</v>
      </c>
      <c r="S17" s="41">
        <v>335.77300000000002</v>
      </c>
      <c r="T17" s="41">
        <v>385.262</v>
      </c>
      <c r="U17" s="41">
        <v>159.095</v>
      </c>
      <c r="V17" s="41">
        <v>88.876999999999995</v>
      </c>
      <c r="W17" s="41">
        <v>144.20699999999999</v>
      </c>
      <c r="X17" s="41">
        <v>127.232</v>
      </c>
      <c r="Y17" s="41">
        <v>215.55099999999999</v>
      </c>
      <c r="Z17" s="41">
        <v>320.298</v>
      </c>
      <c r="AA17" s="41">
        <v>426.661</v>
      </c>
      <c r="AB17" s="41">
        <v>452.42399999999998</v>
      </c>
      <c r="AC17" s="41">
        <v>115.236</v>
      </c>
      <c r="AD17" s="41">
        <v>212.45599999999999</v>
      </c>
      <c r="AE17" s="41">
        <v>322.12599999999998</v>
      </c>
      <c r="AF17" s="41">
        <v>408.87400000000002</v>
      </c>
      <c r="AG17" s="41">
        <v>223.19300000000001</v>
      </c>
      <c r="AH17" s="41">
        <v>372.995</v>
      </c>
      <c r="AI17" s="41">
        <v>445.36</v>
      </c>
      <c r="AJ17" s="41">
        <v>653.54499999999996</v>
      </c>
      <c r="AK17" s="41">
        <v>265.68299999999999</v>
      </c>
      <c r="AL17" s="41">
        <v>498.83600000000001</v>
      </c>
      <c r="AM17" s="41">
        <v>732.50300000000004</v>
      </c>
      <c r="AN17" s="41">
        <v>1028.4349999999999</v>
      </c>
      <c r="AO17" s="41">
        <v>340.9</v>
      </c>
      <c r="AP17" s="41">
        <v>733.74699999999996</v>
      </c>
      <c r="AQ17" s="41">
        <v>1217.3970000000018</v>
      </c>
      <c r="AR17" s="41">
        <v>1803.3420000000001</v>
      </c>
      <c r="AS17" s="41">
        <v>1063.692</v>
      </c>
      <c r="AT17" s="41">
        <v>1632.9970000000001</v>
      </c>
      <c r="AU17" s="41">
        <v>2147.5610000000001</v>
      </c>
      <c r="AV17" s="41">
        <v>2401.5619999999999</v>
      </c>
    </row>
    <row r="18" spans="1:48" ht="15" customHeight="1" x14ac:dyDescent="0.2">
      <c r="B18" s="24" t="s">
        <v>124</v>
      </c>
      <c r="C18" s="44">
        <f t="shared" ref="C18:AL18" si="0">+C17/C16</f>
        <v>0.20591441219872109</v>
      </c>
      <c r="D18" s="44">
        <f t="shared" si="0"/>
        <v>0.12549788692203118</v>
      </c>
      <c r="E18" s="44">
        <f t="shared" si="0"/>
        <v>0.17774016475539026</v>
      </c>
      <c r="F18" s="44">
        <f t="shared" si="0"/>
        <v>0.10454862784860623</v>
      </c>
      <c r="G18" s="44">
        <f t="shared" si="0"/>
        <v>0.11319144307630154</v>
      </c>
      <c r="H18" s="44">
        <f t="shared" si="0"/>
        <v>0.11931655224240073</v>
      </c>
      <c r="I18" s="44">
        <f t="shared" si="0"/>
        <v>0.22666786265412872</v>
      </c>
      <c r="J18" s="44">
        <f t="shared" si="0"/>
        <v>0.20533577923113736</v>
      </c>
      <c r="K18" s="44">
        <f t="shared" si="0"/>
        <v>0.18242324932792622</v>
      </c>
      <c r="L18" s="44">
        <f t="shared" si="0"/>
        <v>0.17790922242698423</v>
      </c>
      <c r="M18" s="44">
        <f t="shared" si="0"/>
        <v>0.1884751256438022</v>
      </c>
      <c r="N18" s="44">
        <f t="shared" si="0"/>
        <v>0.18512367153849962</v>
      </c>
      <c r="O18" s="44">
        <f t="shared" si="0"/>
        <v>0.17068596465893698</v>
      </c>
      <c r="P18" s="44">
        <f t="shared" si="0"/>
        <v>0.1561573858829032</v>
      </c>
      <c r="Q18" s="44">
        <f t="shared" si="0"/>
        <v>0.13016470051860715</v>
      </c>
      <c r="R18" s="44">
        <f t="shared" si="0"/>
        <v>0.12697178652841748</v>
      </c>
      <c r="S18" s="44">
        <f t="shared" si="0"/>
        <v>0.11484020263845891</v>
      </c>
      <c r="T18" s="44">
        <f t="shared" si="0"/>
        <v>9.756587992565724E-2</v>
      </c>
      <c r="U18" s="44">
        <f t="shared" si="0"/>
        <v>0.15029805484964998</v>
      </c>
      <c r="V18" s="44">
        <f t="shared" si="0"/>
        <v>4.5243149412297713E-2</v>
      </c>
      <c r="W18" s="44">
        <f t="shared" si="0"/>
        <v>5.0237379254990049E-2</v>
      </c>
      <c r="X18" s="44">
        <f t="shared" si="0"/>
        <v>3.3081333612061871E-2</v>
      </c>
      <c r="Y18" s="44">
        <f t="shared" si="0"/>
        <v>0.1876716288480994</v>
      </c>
      <c r="Z18" s="44">
        <f t="shared" si="0"/>
        <v>0.14952306838377299</v>
      </c>
      <c r="AA18" s="44">
        <f t="shared" si="0"/>
        <v>0.13346214686932745</v>
      </c>
      <c r="AB18" s="44">
        <f t="shared" si="0"/>
        <v>0.10110587060073679</v>
      </c>
      <c r="AC18" s="44">
        <f t="shared" si="0"/>
        <v>0.10560561294437643</v>
      </c>
      <c r="AD18" s="44">
        <f t="shared" si="0"/>
        <v>0.10413580749168456</v>
      </c>
      <c r="AE18" s="44">
        <f t="shared" si="0"/>
        <v>0.1131602752021246</v>
      </c>
      <c r="AF18" s="44">
        <f t="shared" si="0"/>
        <v>0.10515841377387626</v>
      </c>
      <c r="AG18" s="44">
        <f t="shared" si="0"/>
        <v>0.16250288502633112</v>
      </c>
      <c r="AH18" s="44">
        <f t="shared" si="0"/>
        <v>0.15297407321281439</v>
      </c>
      <c r="AI18" s="44">
        <f t="shared" si="0"/>
        <v>0.13045517243803481</v>
      </c>
      <c r="AJ18" s="44">
        <f t="shared" si="0"/>
        <v>0.13795445051364705</v>
      </c>
      <c r="AK18" s="44">
        <f t="shared" si="0"/>
        <v>0.16230119580323463</v>
      </c>
      <c r="AL18" s="44">
        <f t="shared" si="0"/>
        <v>0.1491601971954046</v>
      </c>
      <c r="AM18" s="44">
        <f>+AM17/AM16</f>
        <v>0.14446631207317281</v>
      </c>
      <c r="AN18" s="44">
        <f>+AN17/AN16</f>
        <v>0.13736032203515017</v>
      </c>
      <c r="AO18" s="44">
        <f>+AO17/AO16</f>
        <v>0.15044602015332342</v>
      </c>
      <c r="AP18" s="44">
        <f>+AP17/AP16</f>
        <v>0.14380124440765207</v>
      </c>
      <c r="AQ18" s="44">
        <f>+AQ17/AQ16</f>
        <v>0.14564828902319596</v>
      </c>
      <c r="AR18" s="44">
        <f t="shared" ref="AR18:AV18" si="1">+AR17/AR16</f>
        <v>0.14845777671196034</v>
      </c>
      <c r="AS18" s="44">
        <f t="shared" si="1"/>
        <v>0.23186857789835721</v>
      </c>
      <c r="AT18" s="44">
        <f t="shared" si="1"/>
        <v>0.19660727221898022</v>
      </c>
      <c r="AU18" s="44">
        <f t="shared" si="1"/>
        <v>0.19010322821078332</v>
      </c>
      <c r="AV18" s="44">
        <f t="shared" si="1"/>
        <v>0.16445276886391988</v>
      </c>
    </row>
    <row r="19" spans="1:48" ht="15" customHeight="1" x14ac:dyDescent="0.2">
      <c r="B19" s="40" t="s">
        <v>125</v>
      </c>
      <c r="C19" s="45">
        <v>263.726</v>
      </c>
      <c r="D19" s="45">
        <v>170.02699999999999</v>
      </c>
      <c r="E19" s="45">
        <v>77.173000000000002</v>
      </c>
      <c r="F19" s="45">
        <v>55.509</v>
      </c>
      <c r="G19" s="45">
        <v>96.073999999999998</v>
      </c>
      <c r="H19" s="45">
        <v>125.45399999999999</v>
      </c>
      <c r="I19" s="45">
        <v>87.165000000000006</v>
      </c>
      <c r="J19" s="45">
        <v>141.60300000000001</v>
      </c>
      <c r="K19" s="45">
        <v>173.40899999999999</v>
      </c>
      <c r="L19" s="45">
        <v>225.928</v>
      </c>
      <c r="M19" s="45">
        <v>79.144000000000005</v>
      </c>
      <c r="N19" s="45">
        <v>160.33500000000001</v>
      </c>
      <c r="O19" s="45">
        <v>236.86799999999999</v>
      </c>
      <c r="P19" s="45">
        <v>302.30599999999998</v>
      </c>
      <c r="Q19" s="45">
        <v>102.78100000000001</v>
      </c>
      <c r="R19" s="45">
        <v>171.72900000000001</v>
      </c>
      <c r="S19" s="45">
        <v>214.97</v>
      </c>
      <c r="T19" s="45">
        <v>200.04599999999999</v>
      </c>
      <c r="U19" s="45">
        <v>107.09399999999999</v>
      </c>
      <c r="V19" s="45">
        <v>-43.863999999999997</v>
      </c>
      <c r="W19" s="45">
        <v>-40.648000000000003</v>
      </c>
      <c r="X19" s="45">
        <v>-123.547</v>
      </c>
      <c r="Y19" s="45">
        <v>139.90700000000001</v>
      </c>
      <c r="Z19" s="45">
        <v>203.13499999999999</v>
      </c>
      <c r="AA19" s="45">
        <v>259.28300000000002</v>
      </c>
      <c r="AB19" s="45">
        <v>24.515000000000001</v>
      </c>
      <c r="AC19" s="45">
        <v>26.718</v>
      </c>
      <c r="AD19" s="45">
        <v>57.488999999999997</v>
      </c>
      <c r="AE19" s="45">
        <v>70.027000000000001</v>
      </c>
      <c r="AF19" s="45">
        <v>116.523</v>
      </c>
      <c r="AG19" s="45">
        <v>165.78</v>
      </c>
      <c r="AH19" s="45">
        <v>249.91499999999999</v>
      </c>
      <c r="AI19" s="45">
        <v>252.37200000000001</v>
      </c>
      <c r="AJ19" s="45">
        <v>313.29300000000001</v>
      </c>
      <c r="AK19" s="45">
        <v>163.66999999999999</v>
      </c>
      <c r="AL19" s="45">
        <v>433.404</v>
      </c>
      <c r="AM19" s="45">
        <v>566.32799999999997</v>
      </c>
      <c r="AN19" s="45">
        <v>778.197</v>
      </c>
      <c r="AO19" s="45">
        <v>211.4</v>
      </c>
      <c r="AP19" s="45">
        <v>384</v>
      </c>
      <c r="AQ19" s="45">
        <v>493.19100000000179</v>
      </c>
      <c r="AR19" s="41">
        <v>1112.0619999999999</v>
      </c>
      <c r="AS19" s="45">
        <v>851.38400000000001</v>
      </c>
      <c r="AT19" s="41">
        <v>1283.489</v>
      </c>
      <c r="AU19" s="41">
        <v>1606.614</v>
      </c>
      <c r="AV19" s="41">
        <v>1603.3910000000001</v>
      </c>
    </row>
    <row r="20" spans="1:48" ht="15" customHeight="1" x14ac:dyDescent="0.2">
      <c r="B20" s="24" t="s">
        <v>124</v>
      </c>
      <c r="C20" s="44">
        <f t="shared" ref="C20:AL20" si="2">+C19/C16</f>
        <v>0.1482543742533905</v>
      </c>
      <c r="D20" s="44">
        <f t="shared" si="2"/>
        <v>6.752754587073069E-2</v>
      </c>
      <c r="E20" s="44">
        <f t="shared" si="2"/>
        <v>0.11983664215781424</v>
      </c>
      <c r="F20" s="44">
        <f t="shared" si="2"/>
        <v>4.6133707883845014E-2</v>
      </c>
      <c r="G20" s="44">
        <f t="shared" si="2"/>
        <v>5.3316507173316111E-2</v>
      </c>
      <c r="H20" s="44">
        <f t="shared" si="2"/>
        <v>5.3384090218576305E-2</v>
      </c>
      <c r="I20" s="44">
        <f t="shared" si="2"/>
        <v>0.14478923212621655</v>
      </c>
      <c r="J20" s="44">
        <f t="shared" si="2"/>
        <v>0.12833984686552879</v>
      </c>
      <c r="K20" s="44">
        <f t="shared" si="2"/>
        <v>0.10582850447184612</v>
      </c>
      <c r="L20" s="44">
        <f t="shared" si="2"/>
        <v>9.9892824171509617E-2</v>
      </c>
      <c r="M20" s="44">
        <f t="shared" si="2"/>
        <v>0.11472688871590368</v>
      </c>
      <c r="N20" s="44">
        <f t="shared" si="2"/>
        <v>0.11508009706821547</v>
      </c>
      <c r="O20" s="44">
        <f t="shared" si="2"/>
        <v>0.1082441154589275</v>
      </c>
      <c r="P20" s="44">
        <f t="shared" si="2"/>
        <v>9.4139929080377327E-2</v>
      </c>
      <c r="Q20" s="44">
        <f t="shared" si="2"/>
        <v>0.10276260549361665</v>
      </c>
      <c r="R20" s="44">
        <f t="shared" si="2"/>
        <v>8.7147839078266565E-2</v>
      </c>
      <c r="S20" s="44">
        <f t="shared" si="2"/>
        <v>7.352347675718271E-2</v>
      </c>
      <c r="T20" s="44">
        <f t="shared" si="2"/>
        <v>5.066075557830263E-2</v>
      </c>
      <c r="U20" s="44">
        <f t="shared" si="2"/>
        <v>0.10117238056550121</v>
      </c>
      <c r="V20" s="44">
        <f t="shared" si="2"/>
        <v>-2.2329123460749428E-2</v>
      </c>
      <c r="W20" s="44">
        <f t="shared" si="2"/>
        <v>-1.4160540001226263E-2</v>
      </c>
      <c r="X20" s="44">
        <f t="shared" si="2"/>
        <v>-3.2123204254978374E-2</v>
      </c>
      <c r="Y20" s="44">
        <f t="shared" si="2"/>
        <v>0.12181142549675505</v>
      </c>
      <c r="Z20" s="44">
        <f t="shared" si="2"/>
        <v>9.482846754003374E-2</v>
      </c>
      <c r="AA20" s="44">
        <f t="shared" si="2"/>
        <v>8.1105293961060032E-2</v>
      </c>
      <c r="AB20" s="44">
        <f t="shared" si="2"/>
        <v>5.478512231395909E-3</v>
      </c>
      <c r="AC20" s="44">
        <f t="shared" si="2"/>
        <v>2.4485150184385514E-2</v>
      </c>
      <c r="AD20" s="44">
        <f t="shared" si="2"/>
        <v>2.8178368400466232E-2</v>
      </c>
      <c r="AE20" s="44">
        <f t="shared" si="2"/>
        <v>2.4599922364475949E-2</v>
      </c>
      <c r="AF20" s="44">
        <f t="shared" si="2"/>
        <v>2.9968581636820594E-2</v>
      </c>
      <c r="AG20" s="44">
        <f t="shared" si="2"/>
        <v>0.12070149278725215</v>
      </c>
      <c r="AH20" s="44">
        <f t="shared" si="2"/>
        <v>0.10249605358511643</v>
      </c>
      <c r="AI20" s="44">
        <f t="shared" si="2"/>
        <v>7.3924988275848133E-2</v>
      </c>
      <c r="AJ20" s="44">
        <f t="shared" si="2"/>
        <v>6.6131886350246777E-2</v>
      </c>
      <c r="AK20" s="44">
        <f t="shared" si="2"/>
        <v>9.9983200720841797E-2</v>
      </c>
      <c r="AL20" s="44">
        <f t="shared" si="2"/>
        <v>0.12959494925241388</v>
      </c>
      <c r="AM20" s="44">
        <f>+AM19/AM16</f>
        <v>0.11169280888102276</v>
      </c>
      <c r="AN20" s="44">
        <f>+AN19/AN16</f>
        <v>0.10393791588849831</v>
      </c>
      <c r="AO20" s="44">
        <f>+AO19/AO16</f>
        <v>9.3295067939021925E-2</v>
      </c>
      <c r="AP20" s="44">
        <f>+AP19/AP16</f>
        <v>7.5257108857056179E-2</v>
      </c>
      <c r="AQ20" s="44">
        <f>+AQ19/AQ16</f>
        <v>5.9004930447207608E-2</v>
      </c>
      <c r="AR20" s="44">
        <f t="shared" ref="AR20:AV20" si="3">+AR19/AR16</f>
        <v>9.1549052861773325E-2</v>
      </c>
      <c r="AS20" s="44">
        <f t="shared" si="3"/>
        <v>0.18558868293210343</v>
      </c>
      <c r="AT20" s="44">
        <f t="shared" si="3"/>
        <v>0.15452770042631231</v>
      </c>
      <c r="AU20" s="44">
        <f t="shared" si="3"/>
        <v>0.14221831551636457</v>
      </c>
      <c r="AV20" s="44">
        <f t="shared" si="3"/>
        <v>0.10979607835295919</v>
      </c>
    </row>
    <row r="21" spans="1:48" ht="15" customHeight="1" x14ac:dyDescent="0.2">
      <c r="B21" s="40" t="s">
        <v>126</v>
      </c>
      <c r="C21" s="41">
        <v>311</v>
      </c>
      <c r="D21" s="41">
        <v>247</v>
      </c>
      <c r="E21" s="41">
        <v>93</v>
      </c>
      <c r="F21" s="41">
        <v>90</v>
      </c>
      <c r="G21" s="41">
        <v>152</v>
      </c>
      <c r="H21" s="41">
        <v>202</v>
      </c>
      <c r="I21" s="41">
        <v>108</v>
      </c>
      <c r="J21" s="41">
        <v>176</v>
      </c>
      <c r="K21" s="41">
        <v>223</v>
      </c>
      <c r="L21" s="41">
        <v>299</v>
      </c>
      <c r="M21" s="41">
        <v>94</v>
      </c>
      <c r="N21" s="41">
        <v>189</v>
      </c>
      <c r="O21" s="41">
        <v>282</v>
      </c>
      <c r="P21" s="41">
        <v>362</v>
      </c>
      <c r="Q21" s="41">
        <v>97</v>
      </c>
      <c r="R21" s="41">
        <v>194</v>
      </c>
      <c r="S21" s="41">
        <v>262</v>
      </c>
      <c r="T21" s="41">
        <v>281</v>
      </c>
      <c r="U21" s="41">
        <v>121</v>
      </c>
      <c r="V21" s="41">
        <v>20</v>
      </c>
      <c r="W21" s="41">
        <v>59</v>
      </c>
      <c r="X21" s="41">
        <v>10</v>
      </c>
      <c r="Y21" s="41">
        <v>169</v>
      </c>
      <c r="Z21" s="41">
        <v>251</v>
      </c>
      <c r="AA21" s="41">
        <v>335</v>
      </c>
      <c r="AB21" s="41">
        <v>188</v>
      </c>
      <c r="AC21" s="41">
        <v>74</v>
      </c>
      <c r="AD21" s="41">
        <v>157</v>
      </c>
      <c r="AE21" s="41">
        <v>247</v>
      </c>
      <c r="AF21" s="41">
        <v>294</v>
      </c>
      <c r="AG21" s="41">
        <v>187</v>
      </c>
      <c r="AH21" s="41">
        <v>299</v>
      </c>
      <c r="AI21" s="41">
        <v>349</v>
      </c>
      <c r="AJ21" s="41">
        <v>529</v>
      </c>
      <c r="AK21" s="41">
        <v>223</v>
      </c>
      <c r="AL21" s="41">
        <v>485</v>
      </c>
      <c r="AM21" s="41">
        <v>683</v>
      </c>
      <c r="AN21" s="41">
        <v>1005</v>
      </c>
      <c r="AO21" s="41">
        <v>295.5</v>
      </c>
      <c r="AP21" s="41">
        <v>593</v>
      </c>
      <c r="AQ21" s="41">
        <v>981.93399999999997</v>
      </c>
      <c r="AR21" s="41">
        <v>1501.1880000000001</v>
      </c>
      <c r="AS21" s="41">
        <v>942.63599999999997</v>
      </c>
      <c r="AT21" s="41">
        <v>1397.3579999999999</v>
      </c>
      <c r="AU21" s="41">
        <v>1799.191</v>
      </c>
      <c r="AV21" s="41">
        <v>1921.048</v>
      </c>
    </row>
    <row r="22" spans="1:48" ht="15" customHeight="1" x14ac:dyDescent="0.2">
      <c r="B22" s="24" t="s">
        <v>124</v>
      </c>
      <c r="C22" s="44">
        <f t="shared" ref="C22:AL22" si="4">+C21/C16</f>
        <v>0.17482959735788067</v>
      </c>
      <c r="D22" s="44">
        <f t="shared" si="4"/>
        <v>9.8097971675501439E-2</v>
      </c>
      <c r="E22" s="44">
        <f t="shared" si="4"/>
        <v>0.14441330155205478</v>
      </c>
      <c r="F22" s="44">
        <f t="shared" si="4"/>
        <v>7.4799288575655321E-2</v>
      </c>
      <c r="G22" s="44">
        <f t="shared" si="4"/>
        <v>8.4352781088994411E-2</v>
      </c>
      <c r="H22" s="44">
        <f t="shared" si="4"/>
        <v>8.5956495800472002E-2</v>
      </c>
      <c r="I22" s="44">
        <f t="shared" si="4"/>
        <v>0.17939811930971589</v>
      </c>
      <c r="J22" s="44">
        <f t="shared" si="4"/>
        <v>0.1595150741745095</v>
      </c>
      <c r="K22" s="44">
        <f t="shared" si="4"/>
        <v>0.13609303148753346</v>
      </c>
      <c r="L22" s="44">
        <f t="shared" si="4"/>
        <v>0.13220120758507745</v>
      </c>
      <c r="M22" s="44">
        <f t="shared" si="4"/>
        <v>0.13626209869724737</v>
      </c>
      <c r="N22" s="44">
        <f t="shared" si="4"/>
        <v>0.13565433839082372</v>
      </c>
      <c r="O22" s="44">
        <f t="shared" si="4"/>
        <v>0.1288685705093873</v>
      </c>
      <c r="P22" s="44">
        <f t="shared" si="4"/>
        <v>0.11272900414512645</v>
      </c>
      <c r="Q22" s="44">
        <f t="shared" si="4"/>
        <v>9.6982640107420776E-2</v>
      </c>
      <c r="R22" s="44">
        <f t="shared" si="4"/>
        <v>9.8449771332644528E-2</v>
      </c>
      <c r="S22" s="44">
        <f t="shared" si="4"/>
        <v>8.9608554265161969E-2</v>
      </c>
      <c r="T22" s="44">
        <f t="shared" si="4"/>
        <v>7.1161994328819561E-2</v>
      </c>
      <c r="U22" s="44">
        <f t="shared" si="4"/>
        <v>0.11430946690221346</v>
      </c>
      <c r="V22" s="44">
        <f t="shared" si="4"/>
        <v>1.0181070335924415E-2</v>
      </c>
      <c r="W22" s="44">
        <f t="shared" si="4"/>
        <v>2.0553824544192811E-2</v>
      </c>
      <c r="X22" s="44">
        <f t="shared" si="4"/>
        <v>2.6000796664409796E-3</v>
      </c>
      <c r="Y22" s="44">
        <f t="shared" si="4"/>
        <v>0.14714153622729101</v>
      </c>
      <c r="Z22" s="44">
        <f t="shared" si="4"/>
        <v>0.11717303937060806</v>
      </c>
      <c r="AA22" s="44">
        <f t="shared" si="4"/>
        <v>0.1047900304954629</v>
      </c>
      <c r="AB22" s="44">
        <f t="shared" si="4"/>
        <v>4.2013473363346147E-2</v>
      </c>
      <c r="AC22" s="44">
        <f t="shared" si="4"/>
        <v>6.7815746449754036E-2</v>
      </c>
      <c r="AD22" s="44">
        <f t="shared" si="4"/>
        <v>7.6953918817046718E-2</v>
      </c>
      <c r="AE22" s="44">
        <f t="shared" si="4"/>
        <v>8.6769115113107226E-2</v>
      </c>
      <c r="AF22" s="44">
        <f t="shared" si="4"/>
        <v>7.5613938889534715E-2</v>
      </c>
      <c r="AG22" s="44">
        <f t="shared" si="4"/>
        <v>0.13615140035719719</v>
      </c>
      <c r="AH22" s="44">
        <f t="shared" si="4"/>
        <v>0.12262697325870722</v>
      </c>
      <c r="AI22" s="44">
        <f t="shared" si="4"/>
        <v>0.10222933173359564</v>
      </c>
      <c r="AJ22" s="44">
        <f t="shared" si="4"/>
        <v>0.11166469687889784</v>
      </c>
      <c r="AK22" s="44">
        <f t="shared" si="4"/>
        <v>0.13622688190106752</v>
      </c>
      <c r="AL22" s="44">
        <f t="shared" si="4"/>
        <v>0.14502300483479785</v>
      </c>
      <c r="AM22" s="44">
        <f>+AM21/AM16</f>
        <v>0.13470319049338642</v>
      </c>
      <c r="AN22" s="44">
        <f>+AN21/AN16</f>
        <v>0.13423028547776567</v>
      </c>
      <c r="AO22" s="44">
        <f>+AO21/AO16</f>
        <v>0.13041008787124397</v>
      </c>
      <c r="AP22" s="44">
        <f>+AP21/AP16</f>
        <v>0.11621735820894352</v>
      </c>
      <c r="AQ22" s="44">
        <f>+AQ21/AQ16</f>
        <v>0.11747770614984487</v>
      </c>
      <c r="AR22" s="44">
        <f t="shared" ref="AR22:AV22" si="5">+AR21/AR16</f>
        <v>0.12358334298578658</v>
      </c>
      <c r="AS22" s="44">
        <f t="shared" si="5"/>
        <v>0.20548022246646194</v>
      </c>
      <c r="AT22" s="44">
        <f t="shared" si="5"/>
        <v>0.16823713986821148</v>
      </c>
      <c r="AU22" s="44">
        <f t="shared" si="5"/>
        <v>0.15926533275086827</v>
      </c>
      <c r="AV22" s="44">
        <f t="shared" si="5"/>
        <v>0.13154841004333662</v>
      </c>
    </row>
    <row r="23" spans="1:48" ht="15" customHeight="1" x14ac:dyDescent="0.2">
      <c r="B23" s="39" t="s">
        <v>128</v>
      </c>
      <c r="C23" s="46">
        <v>23.878</v>
      </c>
      <c r="D23" s="46">
        <v>-36.799999999999997</v>
      </c>
      <c r="E23" s="46">
        <v>-53.152000000000001</v>
      </c>
      <c r="F23" s="46">
        <v>-35.963999999999999</v>
      </c>
      <c r="G23" s="46">
        <v>-28.603000000000002</v>
      </c>
      <c r="H23" s="46">
        <v>-27.042000000000002</v>
      </c>
      <c r="I23" s="46">
        <v>-2.8839999999999999</v>
      </c>
      <c r="J23" s="46">
        <v>-3.7709999999999999</v>
      </c>
      <c r="K23" s="46">
        <v>14.499000000000001</v>
      </c>
      <c r="L23" s="46">
        <v>14.336</v>
      </c>
      <c r="M23" s="46">
        <v>17.649999999999999</v>
      </c>
      <c r="N23" s="46">
        <v>23.193000000000001</v>
      </c>
      <c r="O23" s="46">
        <v>6.3239999999999998</v>
      </c>
      <c r="P23" s="46">
        <v>9.19</v>
      </c>
      <c r="Q23" s="46">
        <v>5.8170000000000002</v>
      </c>
      <c r="R23" s="46">
        <v>14.823</v>
      </c>
      <c r="S23" s="46">
        <v>19.064</v>
      </c>
      <c r="T23" s="46">
        <v>20.86</v>
      </c>
      <c r="U23" s="46">
        <v>10.382999999999999</v>
      </c>
      <c r="V23" s="46">
        <v>28.477</v>
      </c>
      <c r="W23" s="46">
        <v>42.317999999999998</v>
      </c>
      <c r="X23" s="46">
        <v>72.587000000000003</v>
      </c>
      <c r="Y23" s="46">
        <v>24.376000000000001</v>
      </c>
      <c r="Z23" s="46">
        <v>22.745999999999999</v>
      </c>
      <c r="AA23" s="46">
        <v>45.131</v>
      </c>
      <c r="AB23" s="46">
        <v>59.290999999999997</v>
      </c>
      <c r="AC23" s="46">
        <v>48.314</v>
      </c>
      <c r="AD23" s="46">
        <v>75.043000000000006</v>
      </c>
      <c r="AE23" s="46">
        <v>131.79</v>
      </c>
      <c r="AF23" s="46">
        <v>126.444</v>
      </c>
      <c r="AG23" s="46">
        <v>-7.085</v>
      </c>
      <c r="AH23" s="46">
        <v>11.250999999999999</v>
      </c>
      <c r="AI23" s="46">
        <v>27.291</v>
      </c>
      <c r="AJ23" s="46">
        <v>112.41</v>
      </c>
      <c r="AK23" s="46">
        <v>35.155999999999999</v>
      </c>
      <c r="AL23" s="46">
        <v>20.984000000000002</v>
      </c>
      <c r="AM23" s="46">
        <v>43.353999999999999</v>
      </c>
      <c r="AN23" s="46">
        <v>106.68199999999996</v>
      </c>
      <c r="AO23" s="46">
        <v>69.599999999999994</v>
      </c>
      <c r="AP23" s="46">
        <v>239.80700000000002</v>
      </c>
      <c r="AQ23" s="46">
        <f>1093.476-437.762</f>
        <v>655.71400000000017</v>
      </c>
      <c r="AR23" s="46">
        <f>1330.173-822.149</f>
        <v>508.024</v>
      </c>
      <c r="AS23" s="46">
        <f>171.474-61.82</f>
        <v>109.654</v>
      </c>
      <c r="AT23" s="46">
        <f>417.973-249.892</f>
        <v>168.08100000000002</v>
      </c>
      <c r="AU23" s="46">
        <f>558.037-390.372</f>
        <v>167.66500000000002</v>
      </c>
      <c r="AV23" s="46">
        <f>664.724-(433.81)</f>
        <v>230.91400000000004</v>
      </c>
    </row>
    <row r="24" spans="1:48" ht="15" customHeight="1" x14ac:dyDescent="0.2">
      <c r="B24" s="84" t="s">
        <v>188</v>
      </c>
      <c r="C24" s="85">
        <v>288</v>
      </c>
      <c r="D24" s="85">
        <v>133</v>
      </c>
      <c r="E24" s="85">
        <v>24</v>
      </c>
      <c r="F24" s="85">
        <v>20</v>
      </c>
      <c r="G24" s="85">
        <v>67</v>
      </c>
      <c r="H24" s="85">
        <v>98</v>
      </c>
      <c r="I24" s="85">
        <v>84</v>
      </c>
      <c r="J24" s="85">
        <v>138</v>
      </c>
      <c r="K24" s="85">
        <v>188</v>
      </c>
      <c r="L24" s="85">
        <v>240</v>
      </c>
      <c r="M24" s="85">
        <v>97</v>
      </c>
      <c r="N24" s="85">
        <v>184</v>
      </c>
      <c r="O24" s="85">
        <v>243</v>
      </c>
      <c r="P24" s="85">
        <v>311</v>
      </c>
      <c r="Q24" s="85">
        <v>112</v>
      </c>
      <c r="R24" s="85">
        <v>190</v>
      </c>
      <c r="S24" s="85">
        <v>240</v>
      </c>
      <c r="T24" s="85">
        <v>363</v>
      </c>
      <c r="U24" s="85">
        <v>172</v>
      </c>
      <c r="V24" s="85">
        <v>39</v>
      </c>
      <c r="W24" s="85">
        <v>52</v>
      </c>
      <c r="X24" s="85">
        <v>-5</v>
      </c>
      <c r="Y24" s="85">
        <v>172</v>
      </c>
      <c r="Z24" s="85">
        <v>236</v>
      </c>
      <c r="AA24" s="85">
        <v>315</v>
      </c>
      <c r="AB24" s="85">
        <v>96</v>
      </c>
      <c r="AC24" s="85">
        <v>88</v>
      </c>
      <c r="AD24" s="85">
        <v>145</v>
      </c>
      <c r="AE24" s="85">
        <v>215</v>
      </c>
      <c r="AF24" s="85">
        <v>260</v>
      </c>
      <c r="AG24" s="85">
        <v>168</v>
      </c>
      <c r="AH24" s="85">
        <v>273</v>
      </c>
      <c r="AI24" s="85">
        <v>291</v>
      </c>
      <c r="AJ24" s="85">
        <v>439</v>
      </c>
      <c r="AK24" s="85">
        <v>207</v>
      </c>
      <c r="AL24" s="85">
        <v>471</v>
      </c>
      <c r="AM24" s="85">
        <v>627</v>
      </c>
      <c r="AN24" s="85">
        <v>902</v>
      </c>
      <c r="AO24" s="85">
        <v>289.13299999999998</v>
      </c>
      <c r="AP24" s="85">
        <v>630</v>
      </c>
      <c r="AQ24" s="85">
        <v>1155.6020000000017</v>
      </c>
      <c r="AR24" s="85">
        <v>1641</v>
      </c>
      <c r="AS24" s="85">
        <v>971.05499999999995</v>
      </c>
      <c r="AT24" s="85">
        <v>1460.625</v>
      </c>
      <c r="AU24" s="85">
        <v>1793.89</v>
      </c>
      <c r="AV24" s="85">
        <v>1777.0070000000001</v>
      </c>
    </row>
    <row r="25" spans="1:48" ht="15" customHeight="1" x14ac:dyDescent="0.2">
      <c r="B25" s="39" t="s">
        <v>129</v>
      </c>
      <c r="C25" s="46">
        <v>-69.605000000000004</v>
      </c>
      <c r="D25" s="46">
        <v>-42.372</v>
      </c>
      <c r="E25" s="46">
        <v>-18.285</v>
      </c>
      <c r="F25" s="46">
        <v>-7.0759999999999996</v>
      </c>
      <c r="G25" s="46">
        <v>-10.944000000000001</v>
      </c>
      <c r="H25" s="46">
        <v>-29.257000000000001</v>
      </c>
      <c r="I25" s="46">
        <v>-17.510999999999999</v>
      </c>
      <c r="J25" s="46">
        <v>-31.356000000000002</v>
      </c>
      <c r="K25" s="46">
        <v>-40.767000000000003</v>
      </c>
      <c r="L25" s="46">
        <v>-62.033999999999999</v>
      </c>
      <c r="M25" s="46">
        <v>-20.541</v>
      </c>
      <c r="N25" s="46">
        <v>-40.340000000000003</v>
      </c>
      <c r="O25" s="46">
        <v>-46.209000000000003</v>
      </c>
      <c r="P25" s="46">
        <v>-68.840999999999994</v>
      </c>
      <c r="Q25" s="46">
        <v>-19.131</v>
      </c>
      <c r="R25" s="46">
        <v>-39.491</v>
      </c>
      <c r="S25" s="46">
        <v>-42.308999999999997</v>
      </c>
      <c r="T25" s="46">
        <v>-62.337000000000003</v>
      </c>
      <c r="U25" s="46">
        <v>-25.141999999999999</v>
      </c>
      <c r="V25" s="46">
        <v>-33.277000000000001</v>
      </c>
      <c r="W25" s="46">
        <v>-45.966999999999999</v>
      </c>
      <c r="X25" s="46">
        <v>-58.533000000000001</v>
      </c>
      <c r="Y25" s="46">
        <v>-29.1</v>
      </c>
      <c r="Z25" s="46">
        <v>-52.238999999999997</v>
      </c>
      <c r="AA25" s="46">
        <v>-61.448</v>
      </c>
      <c r="AB25" s="46">
        <v>-37.838000000000001</v>
      </c>
      <c r="AC25" s="46">
        <v>-2.9940000000000002</v>
      </c>
      <c r="AD25" s="46">
        <v>-29.867999999999999</v>
      </c>
      <c r="AE25" s="46">
        <v>-56.746000000000002</v>
      </c>
      <c r="AF25" s="46">
        <v>-66.524000000000001</v>
      </c>
      <c r="AG25" s="46">
        <v>-18.321000000000002</v>
      </c>
      <c r="AH25" s="46">
        <v>-48.84</v>
      </c>
      <c r="AI25" s="46">
        <v>-76.942999999999998</v>
      </c>
      <c r="AJ25" s="46">
        <v>-108.61499999999999</v>
      </c>
      <c r="AK25" s="46">
        <v>-46.134</v>
      </c>
      <c r="AL25" s="46">
        <v>-85.724000000000004</v>
      </c>
      <c r="AM25" s="46">
        <v>-110.688</v>
      </c>
      <c r="AN25" s="46">
        <v>-131.52600000000001</v>
      </c>
      <c r="AO25" s="46">
        <f>-26.1-22</f>
        <v>-48.1</v>
      </c>
      <c r="AP25" s="46">
        <v>-109.75</v>
      </c>
      <c r="AQ25" s="46">
        <v>-187.18600000000001</v>
      </c>
      <c r="AR25" s="46">
        <v>-239.85</v>
      </c>
      <c r="AS25" s="46">
        <v>-190.15</v>
      </c>
      <c r="AT25" s="46">
        <v>-281.26400000000001</v>
      </c>
      <c r="AU25" s="46">
        <v>-357.541</v>
      </c>
      <c r="AV25" s="46">
        <v>-362.14800000000002</v>
      </c>
    </row>
    <row r="26" spans="1:48" ht="15" customHeight="1" x14ac:dyDescent="0.2">
      <c r="B26" s="52" t="s">
        <v>127</v>
      </c>
      <c r="C26" s="53">
        <v>218.32499999999999</v>
      </c>
      <c r="D26" s="53">
        <v>91.031999999999996</v>
      </c>
      <c r="E26" s="53">
        <v>5.7949999999999999</v>
      </c>
      <c r="F26" s="53">
        <v>12.593999999999999</v>
      </c>
      <c r="G26" s="53">
        <v>56.710999999999999</v>
      </c>
      <c r="H26" s="53">
        <v>69.343999999999994</v>
      </c>
      <c r="I26" s="53">
        <v>66.81</v>
      </c>
      <c r="J26" s="53">
        <v>106.58799999999999</v>
      </c>
      <c r="K26" s="53">
        <v>147.23599999999999</v>
      </c>
      <c r="L26" s="53">
        <v>178.58</v>
      </c>
      <c r="M26" s="53">
        <v>76.341999999999999</v>
      </c>
      <c r="N26" s="53">
        <v>143.34</v>
      </c>
      <c r="O26" s="53">
        <v>197.20699999999999</v>
      </c>
      <c r="P26" s="53">
        <v>242.44</v>
      </c>
      <c r="Q26" s="53">
        <v>92.372</v>
      </c>
      <c r="R26" s="53">
        <v>149.21700000000001</v>
      </c>
      <c r="S26" s="53">
        <v>197.84100000000001</v>
      </c>
      <c r="T26" s="53">
        <v>299.30500000000001</v>
      </c>
      <c r="U26" s="53">
        <v>147.15</v>
      </c>
      <c r="V26" s="53">
        <v>5.8929999999999998</v>
      </c>
      <c r="W26" s="53">
        <v>5.8579999999999997</v>
      </c>
      <c r="X26" s="53">
        <v>-64.260999999999996</v>
      </c>
      <c r="Y26" s="53">
        <v>142.38200000000001</v>
      </c>
      <c r="Z26" s="53">
        <v>183.95</v>
      </c>
      <c r="AA26" s="53">
        <v>253.39400000000001</v>
      </c>
      <c r="AB26" s="53">
        <v>55.908999999999999</v>
      </c>
      <c r="AC26" s="53">
        <v>84.007000000000005</v>
      </c>
      <c r="AD26" s="53">
        <v>113.10299999999999</v>
      </c>
      <c r="AE26" s="53">
        <v>153.803</v>
      </c>
      <c r="AF26" s="53">
        <v>185.46600000000001</v>
      </c>
      <c r="AG26" s="53">
        <v>148.87799999999999</v>
      </c>
      <c r="AH26" s="53">
        <v>221.48400000000001</v>
      </c>
      <c r="AI26" s="53">
        <v>209.97200000000001</v>
      </c>
      <c r="AJ26" s="53">
        <v>324.411</v>
      </c>
      <c r="AK26" s="53">
        <v>161.71799999999999</v>
      </c>
      <c r="AL26" s="53">
        <v>385.58199999999999</v>
      </c>
      <c r="AM26" s="53">
        <v>516.39599999999996</v>
      </c>
      <c r="AN26" s="53">
        <v>770.72799999999995</v>
      </c>
      <c r="AO26" s="53">
        <v>241.1</v>
      </c>
      <c r="AP26" s="53">
        <v>520.39200000000005</v>
      </c>
      <c r="AQ26" s="53">
        <v>967.94400000000167</v>
      </c>
      <c r="AR26" s="53">
        <v>1401.527</v>
      </c>
      <c r="AS26" s="53">
        <v>780.90499999999997</v>
      </c>
      <c r="AT26" s="53">
        <v>1179.3610000000001</v>
      </c>
      <c r="AU26" s="53">
        <v>1436.3489999999999</v>
      </c>
      <c r="AV26" s="53">
        <v>1414.8589999999999</v>
      </c>
    </row>
    <row r="27" spans="1:48" ht="15" customHeight="1" x14ac:dyDescent="0.2">
      <c r="A27" s="63" t="s">
        <v>79</v>
      </c>
      <c r="B27" s="54" t="s">
        <v>124</v>
      </c>
      <c r="C27" s="55">
        <f t="shared" ref="C27:AV27" si="6">+C26/C16</f>
        <v>0.12273206380437074</v>
      </c>
      <c r="D27" s="55">
        <f t="shared" si="6"/>
        <v>3.6154067034673061E-2</v>
      </c>
      <c r="E27" s="55">
        <f t="shared" si="6"/>
        <v>8.9986568010124463E-3</v>
      </c>
      <c r="F27" s="55">
        <f t="shared" si="6"/>
        <v>1.0466913781353367E-2</v>
      </c>
      <c r="G27" s="55">
        <f t="shared" si="6"/>
        <v>3.1471911633802377E-2</v>
      </c>
      <c r="H27" s="55">
        <f t="shared" si="6"/>
        <v>2.9507758637564011E-2</v>
      </c>
      <c r="I27" s="55">
        <f t="shared" si="6"/>
        <v>0.11097766991742702</v>
      </c>
      <c r="J27" s="55">
        <f t="shared" si="6"/>
        <v>9.6604504125639867E-2</v>
      </c>
      <c r="K27" s="55">
        <f t="shared" si="6"/>
        <v>8.9855576610307061E-2</v>
      </c>
      <c r="L27" s="55">
        <f t="shared" si="6"/>
        <v>7.8958166055328197E-2</v>
      </c>
      <c r="M27" s="55">
        <f t="shared" si="6"/>
        <v>0.11066511849728998</v>
      </c>
      <c r="N27" s="55">
        <f t="shared" si="6"/>
        <v>0.10288197283037394</v>
      </c>
      <c r="O27" s="55">
        <f t="shared" si="6"/>
        <v>9.0119802072499089E-2</v>
      </c>
      <c r="P27" s="55">
        <f t="shared" si="6"/>
        <v>7.5497292168354851E-2</v>
      </c>
      <c r="Q27" s="55">
        <f t="shared" si="6"/>
        <v>9.235546837116157E-2</v>
      </c>
      <c r="R27" s="55">
        <f t="shared" si="6"/>
        <v>7.5723605819294937E-2</v>
      </c>
      <c r="S27" s="55">
        <f t="shared" si="6"/>
        <v>6.7665061009060723E-2</v>
      </c>
      <c r="T27" s="55">
        <f t="shared" si="6"/>
        <v>7.579765378144962E-2</v>
      </c>
      <c r="U27" s="55">
        <f t="shared" si="6"/>
        <v>0.13901353764182406</v>
      </c>
      <c r="V27" s="55">
        <f t="shared" si="6"/>
        <v>2.9998523744801291E-3</v>
      </c>
      <c r="W27" s="55">
        <f t="shared" si="6"/>
        <v>2.040750918303076E-3</v>
      </c>
      <c r="X27" s="55">
        <f t="shared" si="6"/>
        <v>-1.6708371944516378E-2</v>
      </c>
      <c r="Y27" s="55">
        <f t="shared" si="6"/>
        <v>0.12396630894150383</v>
      </c>
      <c r="Z27" s="55">
        <f t="shared" si="6"/>
        <v>8.5872432638340046E-2</v>
      </c>
      <c r="AA27" s="55">
        <f t="shared" si="6"/>
        <v>7.9263179066768136E-2</v>
      </c>
      <c r="AB27" s="55">
        <f t="shared" si="6"/>
        <v>1.2494315331230424E-2</v>
      </c>
      <c r="AC27" s="55">
        <f t="shared" si="6"/>
        <v>7.6986451513574153E-2</v>
      </c>
      <c r="AD27" s="55">
        <f t="shared" si="6"/>
        <v>5.543770114627028E-2</v>
      </c>
      <c r="AE27" s="55">
        <f t="shared" si="6"/>
        <v>5.4029757942272189E-2</v>
      </c>
      <c r="AF27" s="55">
        <f t="shared" si="6"/>
        <v>4.770005030641649E-2</v>
      </c>
      <c r="AG27" s="55">
        <f t="shared" si="6"/>
        <v>0.1083954448255551</v>
      </c>
      <c r="AH27" s="55">
        <f t="shared" si="6"/>
        <v>9.0835827910473288E-2</v>
      </c>
      <c r="AI27" s="55">
        <f t="shared" si="6"/>
        <v>6.1505149692740811E-2</v>
      </c>
      <c r="AJ27" s="55">
        <f t="shared" si="6"/>
        <v>6.847874476215525E-2</v>
      </c>
      <c r="AK27" s="55">
        <f t="shared" si="6"/>
        <v>9.8790757342048591E-2</v>
      </c>
      <c r="AL27" s="55">
        <f t="shared" si="6"/>
        <v>0.115295381959198</v>
      </c>
      <c r="AM27" s="55">
        <f t="shared" si="6"/>
        <v>0.1018450787086717</v>
      </c>
      <c r="AN27" s="55">
        <f t="shared" si="6"/>
        <v>0.10294033777682325</v>
      </c>
      <c r="AO27" s="55">
        <f t="shared" si="6"/>
        <v>0.10640227474029415</v>
      </c>
      <c r="AP27" s="55">
        <f t="shared" si="6"/>
        <v>0.10198749320922183</v>
      </c>
      <c r="AQ27" s="55">
        <f t="shared" si="6"/>
        <v>0.11580395505350222</v>
      </c>
      <c r="AR27" s="55">
        <f t="shared" si="6"/>
        <v>0.115378881222632</v>
      </c>
      <c r="AS27" s="55">
        <f t="shared" si="6"/>
        <v>0.17022533950026572</v>
      </c>
      <c r="AT27" s="55">
        <f t="shared" si="6"/>
        <v>0.14199104417916797</v>
      </c>
      <c r="AU27" s="55">
        <f t="shared" si="6"/>
        <v>0.12714636824627118</v>
      </c>
      <c r="AV27" s="55">
        <f t="shared" si="6"/>
        <v>9.6885893473513007E-2</v>
      </c>
    </row>
    <row r="30" spans="1:48" ht="20.100000000000001" customHeight="1" x14ac:dyDescent="0.2">
      <c r="B30" s="34" t="s">
        <v>131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x14ac:dyDescent="0.2">
      <c r="B31" s="33" t="s">
        <v>121</v>
      </c>
      <c r="C31" s="37" t="s">
        <v>31</v>
      </c>
      <c r="D31" s="37" t="s">
        <v>32</v>
      </c>
      <c r="E31" s="37" t="s">
        <v>33</v>
      </c>
      <c r="F31" s="37" t="s">
        <v>34</v>
      </c>
      <c r="G31" s="37" t="s">
        <v>35</v>
      </c>
      <c r="H31" s="37" t="s">
        <v>36</v>
      </c>
      <c r="I31" s="37" t="s">
        <v>37</v>
      </c>
      <c r="J31" s="37" t="s">
        <v>38</v>
      </c>
      <c r="K31" s="37" t="s">
        <v>39</v>
      </c>
      <c r="L31" s="37" t="s">
        <v>40</v>
      </c>
      <c r="M31" s="37" t="s">
        <v>41</v>
      </c>
      <c r="N31" s="37" t="s">
        <v>42</v>
      </c>
      <c r="O31" s="37" t="s">
        <v>43</v>
      </c>
      <c r="P31" s="37" t="s">
        <v>44</v>
      </c>
      <c r="Q31" s="37" t="s">
        <v>45</v>
      </c>
      <c r="R31" s="37" t="s">
        <v>46</v>
      </c>
      <c r="S31" s="37" t="s">
        <v>47</v>
      </c>
      <c r="T31" s="37" t="s">
        <v>48</v>
      </c>
      <c r="U31" s="37" t="s">
        <v>49</v>
      </c>
      <c r="V31" s="37" t="s">
        <v>50</v>
      </c>
      <c r="W31" s="37" t="s">
        <v>51</v>
      </c>
      <c r="X31" s="37" t="s">
        <v>52</v>
      </c>
      <c r="Y31" s="37" t="s">
        <v>53</v>
      </c>
      <c r="Z31" s="37" t="s">
        <v>54</v>
      </c>
      <c r="AA31" s="37" t="s">
        <v>55</v>
      </c>
      <c r="AB31" s="37" t="s">
        <v>56</v>
      </c>
      <c r="AC31" s="37" t="s">
        <v>57</v>
      </c>
      <c r="AD31" s="37" t="s">
        <v>58</v>
      </c>
      <c r="AE31" s="37" t="s">
        <v>59</v>
      </c>
      <c r="AF31" s="37" t="s">
        <v>60</v>
      </c>
      <c r="AG31" s="37" t="s">
        <v>61</v>
      </c>
      <c r="AH31" s="37" t="s">
        <v>62</v>
      </c>
      <c r="AI31" s="37" t="s">
        <v>63</v>
      </c>
      <c r="AJ31" s="37" t="s">
        <v>64</v>
      </c>
      <c r="AK31" s="37" t="s">
        <v>65</v>
      </c>
      <c r="AL31" s="37" t="s">
        <v>66</v>
      </c>
      <c r="AM31" s="37" t="s">
        <v>67</v>
      </c>
      <c r="AN31" s="37" t="s">
        <v>68</v>
      </c>
      <c r="AO31" s="37" t="s">
        <v>69</v>
      </c>
      <c r="AP31" s="37" t="s">
        <v>70</v>
      </c>
      <c r="AQ31" s="37" t="s">
        <v>71</v>
      </c>
      <c r="AR31" s="37" t="s">
        <v>184</v>
      </c>
      <c r="AS31" s="37" t="s">
        <v>186</v>
      </c>
      <c r="AT31" s="37" t="s">
        <v>189</v>
      </c>
      <c r="AU31" s="37" t="s">
        <v>193</v>
      </c>
      <c r="AV31" s="37" t="s">
        <v>194</v>
      </c>
    </row>
    <row r="32" spans="1:48" ht="15" customHeight="1" x14ac:dyDescent="0.2">
      <c r="B32" s="10" t="s">
        <v>122</v>
      </c>
      <c r="C32" s="11">
        <v>549.65800000000002</v>
      </c>
      <c r="D32" s="43">
        <f>+D16-C16</f>
        <v>739.01600000000008</v>
      </c>
      <c r="E32" s="43">
        <f>+E16</f>
        <v>643.98500000000001</v>
      </c>
      <c r="F32" s="43">
        <f t="shared" ref="F32:H33" si="7">+F16-E16</f>
        <v>559.23500000000001</v>
      </c>
      <c r="G32" s="43">
        <f t="shared" si="7"/>
        <v>598.73599999999988</v>
      </c>
      <c r="H32" s="43">
        <f t="shared" si="7"/>
        <v>548.06999999999994</v>
      </c>
      <c r="I32" s="43">
        <f>+I16</f>
        <v>602.01300000000003</v>
      </c>
      <c r="J32" s="43">
        <f t="shared" ref="J32:L33" si="8">+J16-I16</f>
        <v>501.33100000000002</v>
      </c>
      <c r="K32" s="43">
        <f t="shared" si="8"/>
        <v>535.24099999999999</v>
      </c>
      <c r="L32" s="43">
        <f t="shared" si="8"/>
        <v>623.11900000000014</v>
      </c>
      <c r="M32" s="43">
        <f>+M16</f>
        <v>689.84699999999998</v>
      </c>
      <c r="N32" s="43">
        <f t="shared" ref="N32:P33" si="9">+N16-M16</f>
        <v>703.40000000000009</v>
      </c>
      <c r="O32" s="43">
        <f t="shared" si="9"/>
        <v>795.02899999999977</v>
      </c>
      <c r="P32" s="43">
        <f t="shared" si="9"/>
        <v>1022.9650000000001</v>
      </c>
      <c r="Q32" s="43">
        <f>+Q16</f>
        <v>1000.179</v>
      </c>
      <c r="R32" s="43">
        <f t="shared" ref="R32:T33" si="10">+R16-Q16</f>
        <v>970.36900000000003</v>
      </c>
      <c r="S32" s="43">
        <f t="shared" si="10"/>
        <v>953.28</v>
      </c>
      <c r="T32" s="43">
        <f t="shared" si="10"/>
        <v>1024.9090000000001</v>
      </c>
      <c r="U32" s="43">
        <f>+U16</f>
        <v>1058.53</v>
      </c>
      <c r="V32" s="43">
        <f t="shared" ref="V32:X33" si="11">+V16-U16</f>
        <v>905.90000000000009</v>
      </c>
      <c r="W32" s="43">
        <f t="shared" si="11"/>
        <v>906.08200000000011</v>
      </c>
      <c r="X32" s="43">
        <f t="shared" si="11"/>
        <v>975.52399999999989</v>
      </c>
      <c r="Y32" s="43">
        <f>+Y16</f>
        <v>1148.5540000000001</v>
      </c>
      <c r="Z32" s="43">
        <f t="shared" ref="Z32:AB33" si="12">+Z16-Y16</f>
        <v>993.57699999999977</v>
      </c>
      <c r="AA32" s="43">
        <f t="shared" si="12"/>
        <v>1054.7380000000003</v>
      </c>
      <c r="AB32" s="43">
        <f t="shared" si="12"/>
        <v>1277.886</v>
      </c>
      <c r="AC32" s="43">
        <f>+AC16</f>
        <v>1091.192</v>
      </c>
      <c r="AD32" s="43">
        <f t="shared" ref="AD32:AF33" si="13">+AD16-AC16</f>
        <v>948.99</v>
      </c>
      <c r="AE32" s="43">
        <f t="shared" si="13"/>
        <v>806.4530000000002</v>
      </c>
      <c r="AF32" s="43">
        <f t="shared" si="13"/>
        <v>1041.5369999999998</v>
      </c>
      <c r="AG32" s="43">
        <f>+AG16</f>
        <v>1373.471</v>
      </c>
      <c r="AH32" s="43">
        <f t="shared" ref="AH32:AJ33" si="14">+AH16-AG16</f>
        <v>1064.8180000000002</v>
      </c>
      <c r="AI32" s="43">
        <f t="shared" si="14"/>
        <v>975.60399999999981</v>
      </c>
      <c r="AJ32" s="43">
        <f t="shared" si="14"/>
        <v>1323.5039999999999</v>
      </c>
      <c r="AK32" s="43">
        <f>+AK16</f>
        <v>1636.9749999999999</v>
      </c>
      <c r="AL32" s="43">
        <f t="shared" ref="AL32:AN33" si="15">+AL16-AK16</f>
        <v>1707.3220000000001</v>
      </c>
      <c r="AM32" s="43">
        <f t="shared" si="15"/>
        <v>1726.1100000000001</v>
      </c>
      <c r="AN32" s="43">
        <f t="shared" si="15"/>
        <v>2416.7259999999997</v>
      </c>
      <c r="AO32" s="43">
        <f>+AO16</f>
        <v>2265.9290000000001</v>
      </c>
      <c r="AP32" s="43">
        <f t="shared" ref="AP32:AR33" si="16">+AP16-AO16</f>
        <v>2836.5789999999997</v>
      </c>
      <c r="AQ32" s="43">
        <f t="shared" si="16"/>
        <v>3255.9629999999997</v>
      </c>
      <c r="AR32" s="43">
        <f t="shared" si="16"/>
        <v>3788.7000000000007</v>
      </c>
      <c r="AS32" s="43">
        <f>+AS16</f>
        <v>4587.4780000000001</v>
      </c>
      <c r="AT32" s="43">
        <f t="shared" ref="AT32:AV33" si="17">+AT16-AS16</f>
        <v>3718.4049999999997</v>
      </c>
      <c r="AU32" s="43">
        <f t="shared" si="17"/>
        <v>2990.9320000000007</v>
      </c>
      <c r="AV32" s="43">
        <f t="shared" si="17"/>
        <v>3306.5389999999989</v>
      </c>
    </row>
    <row r="33" spans="1:48" ht="15" customHeight="1" x14ac:dyDescent="0.2">
      <c r="B33" s="40" t="s">
        <v>123</v>
      </c>
      <c r="C33" s="41">
        <v>89.870999999999995</v>
      </c>
      <c r="D33" s="41">
        <f>+D17-C17</f>
        <v>-50.305999999999983</v>
      </c>
      <c r="E33" s="41">
        <f>+E17</f>
        <v>114.462</v>
      </c>
      <c r="F33" s="41">
        <f t="shared" si="7"/>
        <v>11.332999999999998</v>
      </c>
      <c r="G33" s="41">
        <f t="shared" si="7"/>
        <v>78.171000000000006</v>
      </c>
      <c r="H33" s="41">
        <f t="shared" si="7"/>
        <v>76.430999999999983</v>
      </c>
      <c r="I33" s="41">
        <f>+I17</f>
        <v>136.45699999999999</v>
      </c>
      <c r="J33" s="41">
        <f t="shared" si="8"/>
        <v>90.099000000000018</v>
      </c>
      <c r="K33" s="41">
        <f t="shared" si="8"/>
        <v>72.359999999999985</v>
      </c>
      <c r="L33" s="41">
        <f t="shared" si="8"/>
        <v>103.46199999999999</v>
      </c>
      <c r="M33" s="41">
        <f>+M17</f>
        <v>130.01900000000001</v>
      </c>
      <c r="N33" s="41">
        <f t="shared" si="9"/>
        <v>127.904</v>
      </c>
      <c r="O33" s="41">
        <f t="shared" si="9"/>
        <v>115.58499999999998</v>
      </c>
      <c r="P33" s="41">
        <f t="shared" si="9"/>
        <v>127.95100000000002</v>
      </c>
      <c r="Q33" s="41">
        <f>+Q17</f>
        <v>130.18799999999999</v>
      </c>
      <c r="R33" s="41">
        <f t="shared" si="10"/>
        <v>120.01600000000002</v>
      </c>
      <c r="S33" s="41">
        <f t="shared" si="10"/>
        <v>85.569000000000017</v>
      </c>
      <c r="T33" s="41">
        <f t="shared" si="10"/>
        <v>49.488999999999976</v>
      </c>
      <c r="U33" s="41">
        <f>+U17</f>
        <v>159.095</v>
      </c>
      <c r="V33" s="41">
        <f t="shared" si="11"/>
        <v>-70.218000000000004</v>
      </c>
      <c r="W33" s="41">
        <f t="shared" si="11"/>
        <v>55.33</v>
      </c>
      <c r="X33" s="41">
        <f t="shared" si="11"/>
        <v>-16.974999999999994</v>
      </c>
      <c r="Y33" s="41">
        <f>+Y17</f>
        <v>215.55099999999999</v>
      </c>
      <c r="Z33" s="41">
        <f t="shared" si="12"/>
        <v>104.74700000000001</v>
      </c>
      <c r="AA33" s="41">
        <f t="shared" si="12"/>
        <v>106.363</v>
      </c>
      <c r="AB33" s="41">
        <f t="shared" si="12"/>
        <v>25.762999999999977</v>
      </c>
      <c r="AC33" s="41">
        <f>+AC17</f>
        <v>115.236</v>
      </c>
      <c r="AD33" s="41">
        <f t="shared" si="13"/>
        <v>97.219999999999985</v>
      </c>
      <c r="AE33" s="41">
        <f t="shared" si="13"/>
        <v>109.66999999999999</v>
      </c>
      <c r="AF33" s="41">
        <f t="shared" si="13"/>
        <v>86.748000000000047</v>
      </c>
      <c r="AG33" s="41">
        <f>+AG17</f>
        <v>223.19300000000001</v>
      </c>
      <c r="AH33" s="41">
        <f t="shared" si="14"/>
        <v>149.80199999999999</v>
      </c>
      <c r="AI33" s="41">
        <f t="shared" si="14"/>
        <v>72.365000000000009</v>
      </c>
      <c r="AJ33" s="41">
        <f t="shared" si="14"/>
        <v>208.18499999999995</v>
      </c>
      <c r="AK33" s="41">
        <f>+AK17</f>
        <v>265.68299999999999</v>
      </c>
      <c r="AL33" s="41">
        <f t="shared" si="15"/>
        <v>233.15300000000002</v>
      </c>
      <c r="AM33" s="41">
        <f t="shared" si="15"/>
        <v>233.66700000000003</v>
      </c>
      <c r="AN33" s="41">
        <f t="shared" si="15"/>
        <v>295.9319999999999</v>
      </c>
      <c r="AO33" s="41">
        <f>+AO17</f>
        <v>340.9</v>
      </c>
      <c r="AP33" s="41">
        <f t="shared" si="16"/>
        <v>392.84699999999998</v>
      </c>
      <c r="AQ33" s="41">
        <f t="shared" si="16"/>
        <v>483.6500000000018</v>
      </c>
      <c r="AR33" s="41">
        <f t="shared" si="16"/>
        <v>585.94499999999834</v>
      </c>
      <c r="AS33" s="41">
        <f>+AS17</f>
        <v>1063.692</v>
      </c>
      <c r="AT33" s="41">
        <f t="shared" si="17"/>
        <v>569.30500000000006</v>
      </c>
      <c r="AU33" s="41">
        <f t="shared" si="17"/>
        <v>514.56400000000008</v>
      </c>
      <c r="AV33" s="41">
        <f t="shared" si="17"/>
        <v>254.00099999999975</v>
      </c>
    </row>
    <row r="34" spans="1:48" ht="15" customHeight="1" x14ac:dyDescent="0.2">
      <c r="B34" s="24" t="s">
        <v>124</v>
      </c>
      <c r="C34" s="44">
        <f t="shared" ref="C34:AL34" si="18">+C33/C32</f>
        <v>0.16350348762321296</v>
      </c>
      <c r="D34" s="44">
        <f t="shared" si="18"/>
        <v>-6.8071597908570286E-2</v>
      </c>
      <c r="E34" s="44">
        <f t="shared" si="18"/>
        <v>0.17774016475539026</v>
      </c>
      <c r="F34" s="44">
        <f t="shared" si="18"/>
        <v>2.0265183688431516E-2</v>
      </c>
      <c r="G34" s="44">
        <f t="shared" si="18"/>
        <v>0.13056004649795572</v>
      </c>
      <c r="H34" s="44">
        <f t="shared" si="18"/>
        <v>0.13945481416607367</v>
      </c>
      <c r="I34" s="44">
        <f t="shared" si="18"/>
        <v>0.22666786265412872</v>
      </c>
      <c r="J34" s="44">
        <f t="shared" si="18"/>
        <v>0.17971958646084127</v>
      </c>
      <c r="K34" s="44">
        <f t="shared" si="18"/>
        <v>0.1351914371283216</v>
      </c>
      <c r="L34" s="44">
        <f t="shared" si="18"/>
        <v>0.16603891070565971</v>
      </c>
      <c r="M34" s="44">
        <f t="shared" si="18"/>
        <v>0.1884751256438022</v>
      </c>
      <c r="N34" s="44">
        <f t="shared" si="18"/>
        <v>0.18183679272106906</v>
      </c>
      <c r="O34" s="44">
        <f t="shared" si="18"/>
        <v>0.14538463376807639</v>
      </c>
      <c r="P34" s="44">
        <f t="shared" si="18"/>
        <v>0.12507857062558347</v>
      </c>
      <c r="Q34" s="44">
        <f t="shared" si="18"/>
        <v>0.13016470051860715</v>
      </c>
      <c r="R34" s="44">
        <f t="shared" si="18"/>
        <v>0.12368078535072742</v>
      </c>
      <c r="S34" s="44">
        <f t="shared" si="18"/>
        <v>8.9762713997985924E-2</v>
      </c>
      <c r="T34" s="44">
        <f t="shared" si="18"/>
        <v>4.8286238095284525E-2</v>
      </c>
      <c r="U34" s="44">
        <f t="shared" si="18"/>
        <v>0.15029805484964998</v>
      </c>
      <c r="V34" s="44">
        <f t="shared" si="18"/>
        <v>-7.7511866651948341E-2</v>
      </c>
      <c r="W34" s="44">
        <f t="shared" si="18"/>
        <v>6.1065113312040183E-2</v>
      </c>
      <c r="X34" s="44">
        <f t="shared" si="18"/>
        <v>-1.7400904539509019E-2</v>
      </c>
      <c r="Y34" s="44">
        <f t="shared" si="18"/>
        <v>0.1876716288480994</v>
      </c>
      <c r="Z34" s="44">
        <f t="shared" si="18"/>
        <v>0.10542413924637953</v>
      </c>
      <c r="AA34" s="44">
        <f t="shared" si="18"/>
        <v>0.1008430529667083</v>
      </c>
      <c r="AB34" s="44">
        <f t="shared" si="18"/>
        <v>2.016064030750785E-2</v>
      </c>
      <c r="AC34" s="44">
        <f t="shared" si="18"/>
        <v>0.10560561294437643</v>
      </c>
      <c r="AD34" s="44">
        <f t="shared" si="18"/>
        <v>0.10244575812179263</v>
      </c>
      <c r="AE34" s="44">
        <f t="shared" si="18"/>
        <v>0.13599056609622626</v>
      </c>
      <c r="AF34" s="44">
        <f t="shared" si="18"/>
        <v>8.3288447745975477E-2</v>
      </c>
      <c r="AG34" s="44">
        <f t="shared" si="18"/>
        <v>0.16250288502633112</v>
      </c>
      <c r="AH34" s="44">
        <f t="shared" si="18"/>
        <v>0.14068319656504677</v>
      </c>
      <c r="AI34" s="44">
        <f t="shared" si="18"/>
        <v>7.4174562629919547E-2</v>
      </c>
      <c r="AJ34" s="44">
        <f t="shared" si="18"/>
        <v>0.15729835346171978</v>
      </c>
      <c r="AK34" s="44">
        <f t="shared" si="18"/>
        <v>0.16230119580323463</v>
      </c>
      <c r="AL34" s="44">
        <f t="shared" si="18"/>
        <v>0.13656064878212781</v>
      </c>
      <c r="AM34" s="44">
        <f>+AM33/AM32</f>
        <v>0.13537202148182909</v>
      </c>
      <c r="AN34" s="44">
        <f>+AN33/AN32</f>
        <v>0.12245161429140082</v>
      </c>
      <c r="AO34" s="44">
        <f t="shared" ref="AO34:AU34" si="19">+AO33/AO32</f>
        <v>0.15044602015332342</v>
      </c>
      <c r="AP34" s="44">
        <f t="shared" si="19"/>
        <v>0.1384932342797433</v>
      </c>
      <c r="AQ34" s="44">
        <f t="shared" si="19"/>
        <v>0.14854284277800511</v>
      </c>
      <c r="AR34" s="44">
        <f t="shared" si="19"/>
        <v>0.15465595058991163</v>
      </c>
      <c r="AS34" s="44">
        <f t="shared" si="19"/>
        <v>0.23186857789835721</v>
      </c>
      <c r="AT34" s="44">
        <f t="shared" si="19"/>
        <v>0.15310462416009019</v>
      </c>
      <c r="AU34" s="44">
        <f t="shared" si="19"/>
        <v>0.17204135700845086</v>
      </c>
      <c r="AV34" s="44">
        <f t="shared" ref="AV34" si="20">+AV33/AV32</f>
        <v>7.681778439631283E-2</v>
      </c>
    </row>
    <row r="35" spans="1:48" ht="15" customHeight="1" x14ac:dyDescent="0.2">
      <c r="B35" s="40" t="s">
        <v>125</v>
      </c>
      <c r="C35" s="45">
        <v>57.525000000000006</v>
      </c>
      <c r="D35" s="45">
        <f>+D19-C19</f>
        <v>-93.699000000000012</v>
      </c>
      <c r="E35" s="45">
        <f>+E19</f>
        <v>77.173000000000002</v>
      </c>
      <c r="F35" s="45">
        <f>+F19-E19</f>
        <v>-21.664000000000001</v>
      </c>
      <c r="G35" s="45">
        <f>+G19-F19</f>
        <v>40.564999999999998</v>
      </c>
      <c r="H35" s="45">
        <f>+H19-G19</f>
        <v>29.379999999999995</v>
      </c>
      <c r="I35" s="45">
        <f>+I19</f>
        <v>87.165000000000006</v>
      </c>
      <c r="J35" s="45">
        <f>+J19-I19</f>
        <v>54.438000000000002</v>
      </c>
      <c r="K35" s="45">
        <f>+K19-J19</f>
        <v>31.805999999999983</v>
      </c>
      <c r="L35" s="45">
        <f>+L19-K19</f>
        <v>52.519000000000005</v>
      </c>
      <c r="M35" s="45">
        <f>+M19</f>
        <v>79.144000000000005</v>
      </c>
      <c r="N35" s="45">
        <f>+N19-M19</f>
        <v>81.191000000000003</v>
      </c>
      <c r="O35" s="45">
        <f>+O19-N19</f>
        <v>76.532999999999987</v>
      </c>
      <c r="P35" s="45">
        <f>+P19-O19</f>
        <v>65.437999999999988</v>
      </c>
      <c r="Q35" s="45">
        <f>+Q19</f>
        <v>102.78100000000001</v>
      </c>
      <c r="R35" s="45">
        <f>+R19-Q19</f>
        <v>68.948000000000008</v>
      </c>
      <c r="S35" s="45">
        <f>+S19-R19</f>
        <v>43.240999999999985</v>
      </c>
      <c r="T35" s="45">
        <f>+T19-S19</f>
        <v>-14.924000000000007</v>
      </c>
      <c r="U35" s="45">
        <f>+U19</f>
        <v>107.09399999999999</v>
      </c>
      <c r="V35" s="45">
        <f>+V19-U19</f>
        <v>-150.958</v>
      </c>
      <c r="W35" s="45">
        <f>+W19-V19</f>
        <v>3.215999999999994</v>
      </c>
      <c r="X35" s="45">
        <f>+X19-W19</f>
        <v>-82.899000000000001</v>
      </c>
      <c r="Y35" s="45">
        <f>+Y19</f>
        <v>139.90700000000001</v>
      </c>
      <c r="Z35" s="45">
        <f>+Z19-Y19</f>
        <v>63.22799999999998</v>
      </c>
      <c r="AA35" s="45">
        <f>+AA19-Z19</f>
        <v>56.148000000000025</v>
      </c>
      <c r="AB35" s="45">
        <f>+AB19-AA19</f>
        <v>-234.76800000000003</v>
      </c>
      <c r="AC35" s="45">
        <f>+AC19</f>
        <v>26.718</v>
      </c>
      <c r="AD35" s="45">
        <f>+AD19-AC19</f>
        <v>30.770999999999997</v>
      </c>
      <c r="AE35" s="45">
        <f>+AE19-AD19</f>
        <v>12.538000000000004</v>
      </c>
      <c r="AF35" s="45">
        <f>+AF19-AE19</f>
        <v>46.495999999999995</v>
      </c>
      <c r="AG35" s="45">
        <f>+AG19</f>
        <v>165.78</v>
      </c>
      <c r="AH35" s="45">
        <f>+AH19-AG19</f>
        <v>84.134999999999991</v>
      </c>
      <c r="AI35" s="45">
        <f>+AI19-AH19</f>
        <v>2.4570000000000221</v>
      </c>
      <c r="AJ35" s="45">
        <f>+AJ19-AI19</f>
        <v>60.920999999999992</v>
      </c>
      <c r="AK35" s="45">
        <f>+AK19</f>
        <v>163.66999999999999</v>
      </c>
      <c r="AL35" s="45">
        <f>+AL19-AK19</f>
        <v>269.73400000000004</v>
      </c>
      <c r="AM35" s="45">
        <f>+AM19-AL19</f>
        <v>132.92399999999998</v>
      </c>
      <c r="AN35" s="45">
        <f>+AN19-AM19</f>
        <v>211.86900000000003</v>
      </c>
      <c r="AO35" s="45">
        <f>+AO19</f>
        <v>211.4</v>
      </c>
      <c r="AP35" s="45">
        <f>+AP19-AO19</f>
        <v>172.6</v>
      </c>
      <c r="AQ35" s="45">
        <f>+AQ19-AP19</f>
        <v>109.19100000000179</v>
      </c>
      <c r="AR35" s="45">
        <f>+AR19-AQ19</f>
        <v>618.87099999999805</v>
      </c>
      <c r="AS35" s="45">
        <f>+AS19</f>
        <v>851.38400000000001</v>
      </c>
      <c r="AT35" s="45">
        <f>+AT19-AS19</f>
        <v>432.10500000000002</v>
      </c>
      <c r="AU35" s="45">
        <f>+AU19-AT19</f>
        <v>323.125</v>
      </c>
      <c r="AV35" s="45">
        <f>+AV19-AU19</f>
        <v>-3.2229999999999563</v>
      </c>
    </row>
    <row r="36" spans="1:48" ht="15" customHeight="1" x14ac:dyDescent="0.2">
      <c r="B36" s="24" t="s">
        <v>124</v>
      </c>
      <c r="C36" s="44">
        <f t="shared" ref="C36" si="21">+C35/C32</f>
        <v>0.10465598608589342</v>
      </c>
      <c r="D36" s="44">
        <f t="shared" ref="D36" si="22">+D35/D32</f>
        <v>-0.12678886519371704</v>
      </c>
      <c r="E36" s="44">
        <f t="shared" ref="E36" si="23">+E35/E32</f>
        <v>0.11983664215781424</v>
      </c>
      <c r="F36" s="44">
        <f t="shared" ref="F36" si="24">+F35/F32</f>
        <v>-3.8738634026840239E-2</v>
      </c>
      <c r="G36" s="44">
        <f t="shared" ref="G36" si="25">+G35/G32</f>
        <v>6.7751062237780935E-2</v>
      </c>
      <c r="H36" s="44">
        <f t="shared" ref="H36" si="26">+H35/H32</f>
        <v>5.3606291167186675E-2</v>
      </c>
      <c r="I36" s="44">
        <f t="shared" ref="I36" si="27">+I35/I32</f>
        <v>0.14478923212621655</v>
      </c>
      <c r="J36" s="44">
        <f t="shared" ref="J36" si="28">+J35/J32</f>
        <v>0.10858694156156312</v>
      </c>
      <c r="K36" s="44">
        <f t="shared" ref="K36" si="29">+K35/K32</f>
        <v>5.9423698857150299E-2</v>
      </c>
      <c r="L36" s="44">
        <f t="shared" ref="L36" si="30">+L35/L32</f>
        <v>8.4284061310921338E-2</v>
      </c>
      <c r="M36" s="44">
        <f t="shared" ref="M36" si="31">+M35/M32</f>
        <v>0.11472688871590368</v>
      </c>
      <c r="N36" s="44">
        <f t="shared" ref="N36" si="32">+N35/N32</f>
        <v>0.11542649985783338</v>
      </c>
      <c r="O36" s="44">
        <f t="shared" ref="O36" si="33">+O35/O32</f>
        <v>9.6264412996255488E-2</v>
      </c>
      <c r="P36" s="44">
        <f t="shared" ref="P36" si="34">+P35/P32</f>
        <v>6.3968952994481701E-2</v>
      </c>
      <c r="Q36" s="44">
        <f t="shared" ref="Q36" si="35">+Q35/Q32</f>
        <v>0.10276260549361665</v>
      </c>
      <c r="R36" s="44">
        <f t="shared" ref="R36" si="36">+R35/R32</f>
        <v>7.1053382785311578E-2</v>
      </c>
      <c r="S36" s="44">
        <f t="shared" ref="S36" si="37">+S35/S32</f>
        <v>4.5360229942933858E-2</v>
      </c>
      <c r="T36" s="44">
        <f t="shared" ref="T36" si="38">+T35/T32</f>
        <v>-1.4561292758674189E-2</v>
      </c>
      <c r="U36" s="44">
        <f t="shared" ref="U36" si="39">+U35/U32</f>
        <v>0.10117238056550121</v>
      </c>
      <c r="V36" s="44">
        <f t="shared" ref="V36" si="40">+V35/V32</f>
        <v>-0.16663870184347057</v>
      </c>
      <c r="W36" s="44">
        <f t="shared" ref="W36" si="41">+W35/W32</f>
        <v>3.5493476307883764E-3</v>
      </c>
      <c r="X36" s="44">
        <f t="shared" ref="X36" si="42">+X35/X32</f>
        <v>-8.4978944649234681E-2</v>
      </c>
      <c r="Y36" s="44">
        <f t="shared" ref="Y36" si="43">+Y35/Y32</f>
        <v>0.12181142549675505</v>
      </c>
      <c r="Z36" s="44">
        <f t="shared" ref="Z36" si="44">+Z35/Z32</f>
        <v>6.363673877313987E-2</v>
      </c>
      <c r="AA36" s="44">
        <f t="shared" ref="AA36" si="45">+AA35/AA32</f>
        <v>5.3234073295927525E-2</v>
      </c>
      <c r="AB36" s="44">
        <f t="shared" ref="AB36" si="46">+AB35/AB32</f>
        <v>-0.18371591832135264</v>
      </c>
      <c r="AC36" s="44">
        <f t="shared" ref="AC36" si="47">+AC35/AC32</f>
        <v>2.4485150184385514E-2</v>
      </c>
      <c r="AD36" s="44">
        <f t="shared" ref="AD36" si="48">+AD35/AD32</f>
        <v>3.2424999209686084E-2</v>
      </c>
      <c r="AE36" s="44">
        <f t="shared" ref="AE36" si="49">+AE35/AE32</f>
        <v>1.5547093258999596E-2</v>
      </c>
      <c r="AF36" s="44">
        <f t="shared" ref="AF36" si="50">+AF35/AF32</f>
        <v>4.4641717000932279E-2</v>
      </c>
      <c r="AG36" s="44">
        <f t="shared" ref="AG36" si="51">+AG35/AG32</f>
        <v>0.12070149278725215</v>
      </c>
      <c r="AH36" s="44">
        <f t="shared" ref="AH36" si="52">+AH35/AH32</f>
        <v>7.9013502777000366E-2</v>
      </c>
      <c r="AI36" s="44">
        <f t="shared" ref="AI36" si="53">+AI35/AI32</f>
        <v>2.5184398587951898E-3</v>
      </c>
      <c r="AJ36" s="44">
        <f t="shared" ref="AJ36" si="54">+AJ35/AJ32</f>
        <v>4.6030083777608526E-2</v>
      </c>
      <c r="AK36" s="44">
        <f t="shared" ref="AK36" si="55">+AK35/AK32</f>
        <v>9.9983200720841797E-2</v>
      </c>
      <c r="AL36" s="44">
        <f t="shared" ref="AL36" si="56">+AL35/AL32</f>
        <v>0.15798660123866501</v>
      </c>
      <c r="AM36" s="44">
        <f>+AM35/AM32</f>
        <v>7.700783843439872E-2</v>
      </c>
      <c r="AN36" s="44">
        <f>+AN35/AN32</f>
        <v>8.766777863936584E-2</v>
      </c>
      <c r="AO36" s="44">
        <f t="shared" ref="AO36:AU36" si="57">+AO35/AO32</f>
        <v>9.3295067939021925E-2</v>
      </c>
      <c r="AP36" s="44">
        <f t="shared" si="57"/>
        <v>6.0847943949384101E-2</v>
      </c>
      <c r="AQ36" s="44">
        <f t="shared" si="57"/>
        <v>3.3535700497825623E-2</v>
      </c>
      <c r="AR36" s="44">
        <f t="shared" si="57"/>
        <v>0.16334653047219308</v>
      </c>
      <c r="AS36" s="44">
        <f t="shared" si="57"/>
        <v>0.18558868293210343</v>
      </c>
      <c r="AT36" s="44">
        <f t="shared" si="57"/>
        <v>0.11620708341345283</v>
      </c>
      <c r="AU36" s="44">
        <f t="shared" si="57"/>
        <v>0.10803488678445379</v>
      </c>
      <c r="AV36" s="44">
        <f t="shared" ref="AV36" si="58">+AV35/AV32</f>
        <v>-9.7473521407125618E-4</v>
      </c>
    </row>
    <row r="37" spans="1:48" ht="15" customHeight="1" x14ac:dyDescent="0.2">
      <c r="B37" s="40" t="s">
        <v>126</v>
      </c>
      <c r="C37" s="41">
        <f>+C21-236</f>
        <v>75</v>
      </c>
      <c r="D37" s="41">
        <f>+D21-C21</f>
        <v>-64</v>
      </c>
      <c r="E37" s="41">
        <f>+E21</f>
        <v>93</v>
      </c>
      <c r="F37" s="41">
        <f>+F21-E21</f>
        <v>-3</v>
      </c>
      <c r="G37" s="41">
        <f>+G21-F21</f>
        <v>62</v>
      </c>
      <c r="H37" s="41">
        <f>+H21-G21</f>
        <v>50</v>
      </c>
      <c r="I37" s="41">
        <f>+I21</f>
        <v>108</v>
      </c>
      <c r="J37" s="41">
        <f>+J21-I21</f>
        <v>68</v>
      </c>
      <c r="K37" s="41">
        <f>+K21-J21</f>
        <v>47</v>
      </c>
      <c r="L37" s="41">
        <f>+L21-K21</f>
        <v>76</v>
      </c>
      <c r="M37" s="41">
        <f>+M21</f>
        <v>94</v>
      </c>
      <c r="N37" s="41">
        <f>+N21-M21</f>
        <v>95</v>
      </c>
      <c r="O37" s="41">
        <f>+O21-N21</f>
        <v>93</v>
      </c>
      <c r="P37" s="41">
        <f>+P21-O21</f>
        <v>80</v>
      </c>
      <c r="Q37" s="41">
        <f>+Q21</f>
        <v>97</v>
      </c>
      <c r="R37" s="41">
        <f>+R21-Q21</f>
        <v>97</v>
      </c>
      <c r="S37" s="41">
        <f>+S21-R21</f>
        <v>68</v>
      </c>
      <c r="T37" s="41">
        <f>+T21-S21</f>
        <v>19</v>
      </c>
      <c r="U37" s="41">
        <f>+U21</f>
        <v>121</v>
      </c>
      <c r="V37" s="41">
        <f>+V21-U21</f>
        <v>-101</v>
      </c>
      <c r="W37" s="41">
        <f>+W21-V21</f>
        <v>39</v>
      </c>
      <c r="X37" s="41">
        <f>+X21-W21</f>
        <v>-49</v>
      </c>
      <c r="Y37" s="41">
        <f>+Y21</f>
        <v>169</v>
      </c>
      <c r="Z37" s="41">
        <f>+Z21-Y21</f>
        <v>82</v>
      </c>
      <c r="AA37" s="41">
        <f>+AA21-Z21</f>
        <v>84</v>
      </c>
      <c r="AB37" s="41">
        <f>+AB21-AA21</f>
        <v>-147</v>
      </c>
      <c r="AC37" s="41">
        <f>+AC21</f>
        <v>74</v>
      </c>
      <c r="AD37" s="41">
        <f>+AD21-AC21</f>
        <v>83</v>
      </c>
      <c r="AE37" s="41">
        <f>+AE21-AD21</f>
        <v>90</v>
      </c>
      <c r="AF37" s="41">
        <f>+AF21-AE21</f>
        <v>47</v>
      </c>
      <c r="AG37" s="41">
        <f>+AG21</f>
        <v>187</v>
      </c>
      <c r="AH37" s="41">
        <f>+AH21-AG21</f>
        <v>112</v>
      </c>
      <c r="AI37" s="41">
        <f>+AI21-AH21</f>
        <v>50</v>
      </c>
      <c r="AJ37" s="41">
        <f>+AJ21-AI21</f>
        <v>180</v>
      </c>
      <c r="AK37" s="41">
        <f>+AK21</f>
        <v>223</v>
      </c>
      <c r="AL37" s="41">
        <f>+AL21-AK21</f>
        <v>262</v>
      </c>
      <c r="AM37" s="41">
        <f>+AM21-AL21</f>
        <v>198</v>
      </c>
      <c r="AN37" s="41">
        <f>+AN21-AM21</f>
        <v>322</v>
      </c>
      <c r="AO37" s="41">
        <f>+AO21</f>
        <v>295.5</v>
      </c>
      <c r="AP37" s="41">
        <f>+AP21-AO21</f>
        <v>297.5</v>
      </c>
      <c r="AQ37" s="41">
        <f>+AQ21-AP21</f>
        <v>388.93399999999997</v>
      </c>
      <c r="AR37" s="41">
        <f>+AR21-AQ21</f>
        <v>519.25400000000013</v>
      </c>
      <c r="AS37" s="41">
        <f>+AS21</f>
        <v>942.63599999999997</v>
      </c>
      <c r="AT37" s="41">
        <f>+AT21-AS21</f>
        <v>454.72199999999998</v>
      </c>
      <c r="AU37" s="41">
        <f>+AU21-AT21</f>
        <v>401.83300000000008</v>
      </c>
      <c r="AV37" s="41">
        <f>+AV21-AU21</f>
        <v>121.85699999999997</v>
      </c>
    </row>
    <row r="38" spans="1:48" ht="15" customHeight="1" x14ac:dyDescent="0.2">
      <c r="B38" s="24" t="s">
        <v>124</v>
      </c>
      <c r="C38" s="44">
        <f t="shared" ref="C38" si="59">+C37/C32</f>
        <v>0.13644848251094316</v>
      </c>
      <c r="D38" s="44">
        <f t="shared" ref="D38" si="60">+D37/D32</f>
        <v>-8.6601643266180972E-2</v>
      </c>
      <c r="E38" s="44">
        <f t="shared" ref="E38" si="61">+E37/E32</f>
        <v>0.14441330155205478</v>
      </c>
      <c r="F38" s="44">
        <f t="shared" ref="F38" si="62">+F37/F32</f>
        <v>-5.3644711078526912E-3</v>
      </c>
      <c r="G38" s="44">
        <f t="shared" ref="G38" si="63">+G37/G32</f>
        <v>0.1035514817883007</v>
      </c>
      <c r="H38" s="44">
        <f t="shared" ref="H38" si="64">+H37/H32</f>
        <v>9.1229222544565489E-2</v>
      </c>
      <c r="I38" s="44">
        <f t="shared" ref="I38" si="65">+I37/I32</f>
        <v>0.17939811930971589</v>
      </c>
      <c r="J38" s="44">
        <f t="shared" ref="J38" si="66">+J37/J32</f>
        <v>0.13563892917054798</v>
      </c>
      <c r="K38" s="44">
        <f t="shared" ref="K38" si="67">+K37/K32</f>
        <v>8.7810911346477574E-2</v>
      </c>
      <c r="L38" s="44">
        <f t="shared" ref="L38" si="68">+L37/L32</f>
        <v>0.12196707210019271</v>
      </c>
      <c r="M38" s="44">
        <f t="shared" ref="M38" si="69">+M37/M32</f>
        <v>0.13626209869724737</v>
      </c>
      <c r="N38" s="44">
        <f t="shared" ref="N38" si="70">+N37/N32</f>
        <v>0.13505828831390387</v>
      </c>
      <c r="O38" s="44">
        <f t="shared" ref="O38" si="71">+O37/O32</f>
        <v>0.11697686499486186</v>
      </c>
      <c r="P38" s="44">
        <f t="shared" ref="P38" si="72">+P37/P32</f>
        <v>7.8204044126631886E-2</v>
      </c>
      <c r="Q38" s="44">
        <f t="shared" ref="Q38" si="73">+Q37/Q32</f>
        <v>9.6982640107420776E-2</v>
      </c>
      <c r="R38" s="44">
        <f t="shared" ref="R38" si="74">+R37/R32</f>
        <v>9.9961973228740814E-2</v>
      </c>
      <c r="S38" s="44">
        <f t="shared" ref="S38" si="75">+S37/S32</f>
        <v>7.1332661967103056E-2</v>
      </c>
      <c r="T38" s="44">
        <f t="shared" ref="T38" si="76">+T37/T32</f>
        <v>1.853823119906255E-2</v>
      </c>
      <c r="U38" s="44">
        <f t="shared" ref="U38" si="77">+U37/U32</f>
        <v>0.11430946690221346</v>
      </c>
      <c r="V38" s="44">
        <f t="shared" ref="V38" si="78">+V37/V32</f>
        <v>-0.1114913345843912</v>
      </c>
      <c r="W38" s="44">
        <f t="shared" ref="W38" si="79">+W37/W32</f>
        <v>4.3042461940530762E-2</v>
      </c>
      <c r="X38" s="44">
        <f t="shared" ref="X38" si="80">+X37/X32</f>
        <v>-5.022941516559306E-2</v>
      </c>
      <c r="Y38" s="44">
        <f t="shared" ref="Y38" si="81">+Y37/Y32</f>
        <v>0.14714153622729101</v>
      </c>
      <c r="Z38" s="44">
        <f t="shared" ref="Z38" si="82">+Z37/Z32</f>
        <v>8.253009077303522E-2</v>
      </c>
      <c r="AA38" s="44">
        <f t="shared" ref="AA38" si="83">+AA37/AA32</f>
        <v>7.9640631133039652E-2</v>
      </c>
      <c r="AB38" s="44">
        <f t="shared" ref="AB38" si="84">+AB37/AB32</f>
        <v>-0.11503373540362756</v>
      </c>
      <c r="AC38" s="44">
        <f t="shared" ref="AC38" si="85">+AC37/AC32</f>
        <v>6.7815746449754036E-2</v>
      </c>
      <c r="AD38" s="44">
        <f t="shared" ref="AD38" si="86">+AD37/AD32</f>
        <v>8.7461406337263833E-2</v>
      </c>
      <c r="AE38" s="44">
        <f t="shared" ref="AE38" si="87">+AE37/AE32</f>
        <v>0.11159980804833013</v>
      </c>
      <c r="AF38" s="44">
        <f t="shared" ref="AF38" si="88">+AF37/AF32</f>
        <v>4.512561723683365E-2</v>
      </c>
      <c r="AG38" s="44">
        <f t="shared" ref="AG38" si="89">+AG37/AG32</f>
        <v>0.13615140035719719</v>
      </c>
      <c r="AH38" s="44">
        <f t="shared" ref="AH38" si="90">+AH37/AH32</f>
        <v>0.1051822940633986</v>
      </c>
      <c r="AI38" s="44">
        <f t="shared" ref="AI38" si="91">+AI37/AI32</f>
        <v>5.1250302376784032E-2</v>
      </c>
      <c r="AJ38" s="44">
        <f t="shared" ref="AJ38" si="92">+AJ37/AJ32</f>
        <v>0.13600261125013602</v>
      </c>
      <c r="AK38" s="44">
        <f t="shared" ref="AK38" si="93">+AK37/AK32</f>
        <v>0.13622688190106752</v>
      </c>
      <c r="AL38" s="44">
        <f t="shared" ref="AL38" si="94">+AL37/AL32</f>
        <v>0.15345670002495135</v>
      </c>
      <c r="AM38" s="44">
        <f>+AM37/AM32</f>
        <v>0.11470879607904479</v>
      </c>
      <c r="AN38" s="44">
        <f>+AN37/AN32</f>
        <v>0.13323810808507047</v>
      </c>
      <c r="AO38" s="44">
        <f t="shared" ref="AO38:AU38" si="95">+AO37/AO32</f>
        <v>0.13041008787124397</v>
      </c>
      <c r="AP38" s="44">
        <f t="shared" si="95"/>
        <v>0.1048798570390601</v>
      </c>
      <c r="AQ38" s="44">
        <f t="shared" si="95"/>
        <v>0.11945283162001534</v>
      </c>
      <c r="AR38" s="44">
        <f t="shared" si="95"/>
        <v>0.13705334283527332</v>
      </c>
      <c r="AS38" s="44">
        <f t="shared" si="95"/>
        <v>0.20548022246646194</v>
      </c>
      <c r="AT38" s="44">
        <f t="shared" si="95"/>
        <v>0.12228953005388063</v>
      </c>
      <c r="AU38" s="44">
        <f t="shared" si="95"/>
        <v>0.13435042989944271</v>
      </c>
      <c r="AV38" s="44">
        <f t="shared" ref="AV38" si="96">+AV37/AV32</f>
        <v>3.6853338188359494E-2</v>
      </c>
    </row>
    <row r="39" spans="1:48" ht="15" customHeight="1" x14ac:dyDescent="0.2">
      <c r="B39" s="39" t="s">
        <v>128</v>
      </c>
      <c r="C39" s="46">
        <v>6.5000000000000002E-2</v>
      </c>
      <c r="D39" s="46">
        <f>+D23-C23</f>
        <v>-60.677999999999997</v>
      </c>
      <c r="E39" s="46">
        <f>+E23</f>
        <v>-53.152000000000001</v>
      </c>
      <c r="F39" s="46">
        <f t="shared" ref="F39:H41" si="97">+F23-E23</f>
        <v>17.188000000000002</v>
      </c>
      <c r="G39" s="46">
        <f t="shared" si="97"/>
        <v>7.3609999999999971</v>
      </c>
      <c r="H39" s="46">
        <f t="shared" si="97"/>
        <v>1.5609999999999999</v>
      </c>
      <c r="I39" s="46">
        <f>+I23</f>
        <v>-2.8839999999999999</v>
      </c>
      <c r="J39" s="46">
        <f t="shared" ref="J39:L41" si="98">+J23-I23</f>
        <v>-0.88700000000000001</v>
      </c>
      <c r="K39" s="46">
        <f t="shared" si="98"/>
        <v>18.27</v>
      </c>
      <c r="L39" s="46">
        <f t="shared" si="98"/>
        <v>-0.16300000000000026</v>
      </c>
      <c r="M39" s="46">
        <f>+M23</f>
        <v>17.649999999999999</v>
      </c>
      <c r="N39" s="46">
        <f t="shared" ref="N39:P41" si="99">+N23-M23</f>
        <v>5.5430000000000028</v>
      </c>
      <c r="O39" s="46">
        <f t="shared" si="99"/>
        <v>-16.869</v>
      </c>
      <c r="P39" s="46">
        <f t="shared" si="99"/>
        <v>2.8659999999999997</v>
      </c>
      <c r="Q39" s="46">
        <f>+Q23</f>
        <v>5.8170000000000002</v>
      </c>
      <c r="R39" s="46">
        <f t="shared" ref="R39:T41" si="100">+R23-Q23</f>
        <v>9.0060000000000002</v>
      </c>
      <c r="S39" s="46">
        <f t="shared" si="100"/>
        <v>4.2409999999999997</v>
      </c>
      <c r="T39" s="46">
        <f t="shared" si="100"/>
        <v>1.7959999999999994</v>
      </c>
      <c r="U39" s="46">
        <f>+U23</f>
        <v>10.382999999999999</v>
      </c>
      <c r="V39" s="46">
        <f t="shared" ref="V39:X41" si="101">+V23-U23</f>
        <v>18.094000000000001</v>
      </c>
      <c r="W39" s="46">
        <f t="shared" si="101"/>
        <v>13.840999999999998</v>
      </c>
      <c r="X39" s="46">
        <f t="shared" si="101"/>
        <v>30.269000000000005</v>
      </c>
      <c r="Y39" s="46">
        <f>+Y23</f>
        <v>24.376000000000001</v>
      </c>
      <c r="Z39" s="46">
        <f t="shared" ref="Z39:AB41" si="102">+Z23-Y23</f>
        <v>-1.6300000000000026</v>
      </c>
      <c r="AA39" s="46">
        <f t="shared" si="102"/>
        <v>22.385000000000002</v>
      </c>
      <c r="AB39" s="46">
        <f t="shared" si="102"/>
        <v>14.159999999999997</v>
      </c>
      <c r="AC39" s="46">
        <f>+AC23</f>
        <v>48.314</v>
      </c>
      <c r="AD39" s="46">
        <f t="shared" ref="AD39:AF41" si="103">+AD23-AC23</f>
        <v>26.729000000000006</v>
      </c>
      <c r="AE39" s="46">
        <f t="shared" si="103"/>
        <v>56.746999999999986</v>
      </c>
      <c r="AF39" s="46">
        <f t="shared" si="103"/>
        <v>-5.3459999999999894</v>
      </c>
      <c r="AG39" s="46">
        <f>+AG23</f>
        <v>-7.085</v>
      </c>
      <c r="AH39" s="46">
        <f t="shared" ref="AH39:AJ41" si="104">+AH23-AG23</f>
        <v>18.335999999999999</v>
      </c>
      <c r="AI39" s="46">
        <f t="shared" si="104"/>
        <v>16.04</v>
      </c>
      <c r="AJ39" s="46">
        <f t="shared" si="104"/>
        <v>85.119</v>
      </c>
      <c r="AK39" s="46">
        <f>+AK23</f>
        <v>35.155999999999999</v>
      </c>
      <c r="AL39" s="46">
        <f t="shared" ref="AL39:AN41" si="105">+AL23-AK23</f>
        <v>-14.171999999999997</v>
      </c>
      <c r="AM39" s="46">
        <f t="shared" si="105"/>
        <v>22.369999999999997</v>
      </c>
      <c r="AN39" s="46">
        <f t="shared" si="105"/>
        <v>63.32799999999996</v>
      </c>
      <c r="AO39" s="46">
        <f>+AO23</f>
        <v>69.599999999999994</v>
      </c>
      <c r="AP39" s="46">
        <f t="shared" ref="AP39:AR41" si="106">+AP23-AO23</f>
        <v>170.20700000000002</v>
      </c>
      <c r="AQ39" s="46">
        <f t="shared" si="106"/>
        <v>415.90700000000015</v>
      </c>
      <c r="AR39" s="46">
        <f t="shared" si="106"/>
        <v>-147.69000000000017</v>
      </c>
      <c r="AS39" s="46">
        <f>+AS23</f>
        <v>109.654</v>
      </c>
      <c r="AT39" s="46">
        <f t="shared" ref="AT39:AV42" si="107">+AT23-AS23</f>
        <v>58.427000000000021</v>
      </c>
      <c r="AU39" s="46">
        <f t="shared" si="107"/>
        <v>-0.41599999999999682</v>
      </c>
      <c r="AV39" s="46">
        <f t="shared" si="107"/>
        <v>63.249000000000024</v>
      </c>
    </row>
    <row r="40" spans="1:48" ht="15" customHeight="1" x14ac:dyDescent="0.2">
      <c r="B40" s="84" t="s">
        <v>188</v>
      </c>
      <c r="C40" s="86">
        <v>6.5000000000000002E-2</v>
      </c>
      <c r="D40" s="86">
        <f>+D24-C24</f>
        <v>-155</v>
      </c>
      <c r="E40" s="86">
        <f>+E24</f>
        <v>24</v>
      </c>
      <c r="F40" s="86">
        <f t="shared" si="97"/>
        <v>-4</v>
      </c>
      <c r="G40" s="86">
        <f t="shared" si="97"/>
        <v>47</v>
      </c>
      <c r="H40" s="86">
        <f t="shared" si="97"/>
        <v>31</v>
      </c>
      <c r="I40" s="86">
        <f>+I24</f>
        <v>84</v>
      </c>
      <c r="J40" s="86">
        <f t="shared" si="98"/>
        <v>54</v>
      </c>
      <c r="K40" s="86">
        <f t="shared" si="98"/>
        <v>50</v>
      </c>
      <c r="L40" s="86">
        <f t="shared" si="98"/>
        <v>52</v>
      </c>
      <c r="M40" s="86">
        <f>+M24</f>
        <v>97</v>
      </c>
      <c r="N40" s="86">
        <f t="shared" si="99"/>
        <v>87</v>
      </c>
      <c r="O40" s="86">
        <f t="shared" si="99"/>
        <v>59</v>
      </c>
      <c r="P40" s="86">
        <f t="shared" si="99"/>
        <v>68</v>
      </c>
      <c r="Q40" s="86">
        <f>+Q24</f>
        <v>112</v>
      </c>
      <c r="R40" s="86">
        <f t="shared" si="100"/>
        <v>78</v>
      </c>
      <c r="S40" s="86">
        <f t="shared" si="100"/>
        <v>50</v>
      </c>
      <c r="T40" s="86">
        <f t="shared" si="100"/>
        <v>123</v>
      </c>
      <c r="U40" s="86">
        <f>+U24</f>
        <v>172</v>
      </c>
      <c r="V40" s="86">
        <f t="shared" si="101"/>
        <v>-133</v>
      </c>
      <c r="W40" s="86">
        <f t="shared" si="101"/>
        <v>13</v>
      </c>
      <c r="X40" s="86">
        <f t="shared" si="101"/>
        <v>-57</v>
      </c>
      <c r="Y40" s="86">
        <f>+Y24</f>
        <v>172</v>
      </c>
      <c r="Z40" s="86">
        <f t="shared" si="102"/>
        <v>64</v>
      </c>
      <c r="AA40" s="86">
        <f t="shared" si="102"/>
        <v>79</v>
      </c>
      <c r="AB40" s="86">
        <f t="shared" si="102"/>
        <v>-219</v>
      </c>
      <c r="AC40" s="86">
        <f>+AC24</f>
        <v>88</v>
      </c>
      <c r="AD40" s="86">
        <f t="shared" si="103"/>
        <v>57</v>
      </c>
      <c r="AE40" s="86">
        <f t="shared" si="103"/>
        <v>70</v>
      </c>
      <c r="AF40" s="86">
        <f t="shared" si="103"/>
        <v>45</v>
      </c>
      <c r="AG40" s="86">
        <f>+AG24</f>
        <v>168</v>
      </c>
      <c r="AH40" s="86">
        <f t="shared" si="104"/>
        <v>105</v>
      </c>
      <c r="AI40" s="86">
        <f t="shared" si="104"/>
        <v>18</v>
      </c>
      <c r="AJ40" s="86">
        <f t="shared" si="104"/>
        <v>148</v>
      </c>
      <c r="AK40" s="86">
        <f>+AK24</f>
        <v>207</v>
      </c>
      <c r="AL40" s="86">
        <f t="shared" si="105"/>
        <v>264</v>
      </c>
      <c r="AM40" s="86">
        <f t="shared" si="105"/>
        <v>156</v>
      </c>
      <c r="AN40" s="86">
        <f t="shared" si="105"/>
        <v>275</v>
      </c>
      <c r="AO40" s="86">
        <f>+AO24</f>
        <v>289.13299999999998</v>
      </c>
      <c r="AP40" s="86">
        <f t="shared" si="106"/>
        <v>340.86700000000002</v>
      </c>
      <c r="AQ40" s="86">
        <f t="shared" si="106"/>
        <v>525.60200000000168</v>
      </c>
      <c r="AR40" s="86">
        <f t="shared" si="106"/>
        <v>485.39799999999832</v>
      </c>
      <c r="AS40" s="86">
        <f>+AS24</f>
        <v>971.05499999999995</v>
      </c>
      <c r="AT40" s="86">
        <f t="shared" si="107"/>
        <v>489.57000000000005</v>
      </c>
      <c r="AU40" s="86">
        <f t="shared" si="107"/>
        <v>333.2650000000001</v>
      </c>
      <c r="AV40" s="86">
        <f t="shared" si="107"/>
        <v>-16.883000000000038</v>
      </c>
    </row>
    <row r="41" spans="1:48" ht="15" customHeight="1" x14ac:dyDescent="0.2">
      <c r="B41" s="39" t="s">
        <v>129</v>
      </c>
      <c r="C41" s="46">
        <v>-12.629</v>
      </c>
      <c r="D41" s="46">
        <f>+D25-C25</f>
        <v>27.233000000000004</v>
      </c>
      <c r="E41" s="46">
        <f>+E25</f>
        <v>-18.285</v>
      </c>
      <c r="F41" s="46">
        <f t="shared" si="97"/>
        <v>11.209</v>
      </c>
      <c r="G41" s="46">
        <f t="shared" si="97"/>
        <v>-3.8680000000000012</v>
      </c>
      <c r="H41" s="46">
        <f t="shared" si="97"/>
        <v>-18.313000000000002</v>
      </c>
      <c r="I41" s="46">
        <f>+I25</f>
        <v>-17.510999999999999</v>
      </c>
      <c r="J41" s="46">
        <f t="shared" si="98"/>
        <v>-13.845000000000002</v>
      </c>
      <c r="K41" s="46">
        <f t="shared" si="98"/>
        <v>-9.4110000000000014</v>
      </c>
      <c r="L41" s="46">
        <f t="shared" si="98"/>
        <v>-21.266999999999996</v>
      </c>
      <c r="M41" s="46">
        <f>+M25</f>
        <v>-20.541</v>
      </c>
      <c r="N41" s="46">
        <f t="shared" si="99"/>
        <v>-19.799000000000003</v>
      </c>
      <c r="O41" s="46">
        <f t="shared" si="99"/>
        <v>-5.8689999999999998</v>
      </c>
      <c r="P41" s="46">
        <f t="shared" si="99"/>
        <v>-22.631999999999991</v>
      </c>
      <c r="Q41" s="46">
        <f>+Q25</f>
        <v>-19.131</v>
      </c>
      <c r="R41" s="46">
        <f t="shared" si="100"/>
        <v>-20.36</v>
      </c>
      <c r="S41" s="46">
        <f t="shared" si="100"/>
        <v>-2.8179999999999978</v>
      </c>
      <c r="T41" s="46">
        <f t="shared" si="100"/>
        <v>-20.028000000000006</v>
      </c>
      <c r="U41" s="46">
        <f>+U25</f>
        <v>-25.141999999999999</v>
      </c>
      <c r="V41" s="46">
        <f t="shared" si="101"/>
        <v>-8.1350000000000016</v>
      </c>
      <c r="W41" s="46">
        <f t="shared" si="101"/>
        <v>-12.689999999999998</v>
      </c>
      <c r="X41" s="46">
        <f t="shared" si="101"/>
        <v>-12.566000000000003</v>
      </c>
      <c r="Y41" s="46">
        <f>+Y25</f>
        <v>-29.1</v>
      </c>
      <c r="Z41" s="46">
        <f t="shared" si="102"/>
        <v>-23.138999999999996</v>
      </c>
      <c r="AA41" s="46">
        <f t="shared" si="102"/>
        <v>-9.2090000000000032</v>
      </c>
      <c r="AB41" s="46">
        <f t="shared" si="102"/>
        <v>23.61</v>
      </c>
      <c r="AC41" s="46">
        <f>+AC25</f>
        <v>-2.9940000000000002</v>
      </c>
      <c r="AD41" s="46">
        <f t="shared" si="103"/>
        <v>-26.873999999999999</v>
      </c>
      <c r="AE41" s="46">
        <f t="shared" si="103"/>
        <v>-26.878000000000004</v>
      </c>
      <c r="AF41" s="46">
        <f t="shared" si="103"/>
        <v>-9.7779999999999987</v>
      </c>
      <c r="AG41" s="46">
        <f>+AG25</f>
        <v>-18.321000000000002</v>
      </c>
      <c r="AH41" s="46">
        <f t="shared" si="104"/>
        <v>-30.519000000000002</v>
      </c>
      <c r="AI41" s="46">
        <f t="shared" si="104"/>
        <v>-28.102999999999994</v>
      </c>
      <c r="AJ41" s="46">
        <f t="shared" si="104"/>
        <v>-31.671999999999997</v>
      </c>
      <c r="AK41" s="46">
        <f>+AK25</f>
        <v>-46.134</v>
      </c>
      <c r="AL41" s="46">
        <f t="shared" si="105"/>
        <v>-39.590000000000003</v>
      </c>
      <c r="AM41" s="46">
        <f t="shared" si="105"/>
        <v>-24.963999999999999</v>
      </c>
      <c r="AN41" s="46">
        <f t="shared" si="105"/>
        <v>-20.838000000000008</v>
      </c>
      <c r="AO41" s="46">
        <f>+AO25</f>
        <v>-48.1</v>
      </c>
      <c r="AP41" s="46">
        <f t="shared" si="106"/>
        <v>-61.65</v>
      </c>
      <c r="AQ41" s="46">
        <f t="shared" si="106"/>
        <v>-77.436000000000007</v>
      </c>
      <c r="AR41" s="46">
        <f t="shared" si="106"/>
        <v>-52.663999999999987</v>
      </c>
      <c r="AS41" s="46">
        <f>+AS25</f>
        <v>-190.15</v>
      </c>
      <c r="AT41" s="46">
        <f t="shared" si="107"/>
        <v>-91.114000000000004</v>
      </c>
      <c r="AU41" s="46">
        <f t="shared" si="107"/>
        <v>-76.276999999999987</v>
      </c>
      <c r="AV41" s="46">
        <f t="shared" si="107"/>
        <v>-4.6070000000000277</v>
      </c>
    </row>
    <row r="42" spans="1:48" ht="15" customHeight="1" x14ac:dyDescent="0.2">
      <c r="B42" s="52" t="s">
        <v>127</v>
      </c>
      <c r="C42" s="53">
        <v>44.960999999999999</v>
      </c>
      <c r="D42" s="53">
        <f t="shared" ref="D42" si="108">+D26-C26</f>
        <v>-127.29299999999999</v>
      </c>
      <c r="E42" s="53">
        <f t="shared" ref="E42" si="109">+E26</f>
        <v>5.7949999999999999</v>
      </c>
      <c r="F42" s="53">
        <f t="shared" ref="F42:H42" si="110">+F26-E26</f>
        <v>6.7989999999999995</v>
      </c>
      <c r="G42" s="53">
        <f t="shared" si="110"/>
        <v>44.116999999999997</v>
      </c>
      <c r="H42" s="53">
        <f t="shared" si="110"/>
        <v>12.632999999999996</v>
      </c>
      <c r="I42" s="53">
        <f t="shared" ref="I42" si="111">+I26</f>
        <v>66.81</v>
      </c>
      <c r="J42" s="53">
        <f t="shared" ref="J42:L42" si="112">+J26-I26</f>
        <v>39.777999999999992</v>
      </c>
      <c r="K42" s="53">
        <f t="shared" si="112"/>
        <v>40.647999999999996</v>
      </c>
      <c r="L42" s="53">
        <f t="shared" si="112"/>
        <v>31.344000000000023</v>
      </c>
      <c r="M42" s="53">
        <f t="shared" ref="M42" si="113">+M26</f>
        <v>76.341999999999999</v>
      </c>
      <c r="N42" s="53">
        <f t="shared" ref="N42:P42" si="114">+N26-M26</f>
        <v>66.998000000000005</v>
      </c>
      <c r="O42" s="53">
        <f t="shared" si="114"/>
        <v>53.86699999999999</v>
      </c>
      <c r="P42" s="53">
        <f t="shared" si="114"/>
        <v>45.233000000000004</v>
      </c>
      <c r="Q42" s="53">
        <f t="shared" ref="Q42" si="115">+Q26</f>
        <v>92.372</v>
      </c>
      <c r="R42" s="53">
        <f t="shared" ref="R42:T42" si="116">+R26-Q26</f>
        <v>56.845000000000013</v>
      </c>
      <c r="S42" s="53">
        <f t="shared" si="116"/>
        <v>48.623999999999995</v>
      </c>
      <c r="T42" s="53">
        <f t="shared" si="116"/>
        <v>101.464</v>
      </c>
      <c r="U42" s="53">
        <f t="shared" ref="U42" si="117">+U26</f>
        <v>147.15</v>
      </c>
      <c r="V42" s="53">
        <f t="shared" ref="V42:X42" si="118">+V26-U26</f>
        <v>-141.25700000000001</v>
      </c>
      <c r="W42" s="53">
        <f t="shared" si="118"/>
        <v>-3.5000000000000142E-2</v>
      </c>
      <c r="X42" s="53">
        <f t="shared" si="118"/>
        <v>-70.119</v>
      </c>
      <c r="Y42" s="53">
        <f t="shared" ref="Y42" si="119">+Y26</f>
        <v>142.38200000000001</v>
      </c>
      <c r="Z42" s="53">
        <f t="shared" ref="Z42:AB42" si="120">+Z26-Y26</f>
        <v>41.567999999999984</v>
      </c>
      <c r="AA42" s="53">
        <f t="shared" si="120"/>
        <v>69.444000000000017</v>
      </c>
      <c r="AB42" s="53">
        <f t="shared" si="120"/>
        <v>-197.48500000000001</v>
      </c>
      <c r="AC42" s="53">
        <f t="shared" ref="AC42" si="121">+AC26</f>
        <v>84.007000000000005</v>
      </c>
      <c r="AD42" s="53">
        <f t="shared" ref="AD42:AF42" si="122">+AD26-AC26</f>
        <v>29.095999999999989</v>
      </c>
      <c r="AE42" s="53">
        <f t="shared" si="122"/>
        <v>40.700000000000003</v>
      </c>
      <c r="AF42" s="53">
        <f t="shared" si="122"/>
        <v>31.663000000000011</v>
      </c>
      <c r="AG42" s="53">
        <f t="shared" ref="AG42" si="123">+AG26</f>
        <v>148.87799999999999</v>
      </c>
      <c r="AH42" s="53">
        <f t="shared" ref="AH42:AJ42" si="124">+AH26-AG26</f>
        <v>72.606000000000023</v>
      </c>
      <c r="AI42" s="53">
        <f t="shared" si="124"/>
        <v>-11.512</v>
      </c>
      <c r="AJ42" s="53">
        <f t="shared" si="124"/>
        <v>114.43899999999999</v>
      </c>
      <c r="AK42" s="53">
        <f t="shared" ref="AK42" si="125">+AK26</f>
        <v>161.71799999999999</v>
      </c>
      <c r="AL42" s="53">
        <f t="shared" ref="AL42:AP42" si="126">+AL26-AK26</f>
        <v>223.864</v>
      </c>
      <c r="AM42" s="53">
        <f t="shared" si="126"/>
        <v>130.81399999999996</v>
      </c>
      <c r="AN42" s="53">
        <f t="shared" si="126"/>
        <v>254.33199999999999</v>
      </c>
      <c r="AO42" s="53">
        <f t="shared" ref="AO42" si="127">+AO26</f>
        <v>241.1</v>
      </c>
      <c r="AP42" s="53">
        <f t="shared" si="126"/>
        <v>279.29200000000003</v>
      </c>
      <c r="AQ42" s="90">
        <v>446.79700000000003</v>
      </c>
      <c r="AR42" s="53">
        <f t="shared" ref="AR42" si="128">+AR26-AQ26</f>
        <v>433.58299999999838</v>
      </c>
      <c r="AS42" s="53">
        <f t="shared" ref="AS42" si="129">+AS26</f>
        <v>780.90499999999997</v>
      </c>
      <c r="AT42" s="53">
        <f t="shared" si="107"/>
        <v>398.45600000000013</v>
      </c>
      <c r="AU42" s="53">
        <f t="shared" si="107"/>
        <v>256.98799999999983</v>
      </c>
      <c r="AV42" s="53">
        <f t="shared" si="107"/>
        <v>-21.490000000000009</v>
      </c>
    </row>
    <row r="43" spans="1:48" ht="15" customHeight="1" x14ac:dyDescent="0.2">
      <c r="A43" s="63" t="s">
        <v>79</v>
      </c>
      <c r="B43" s="54" t="s">
        <v>124</v>
      </c>
      <c r="C43" s="55">
        <f t="shared" ref="C43:AM43" si="130">+C42/C32</f>
        <v>8.1798136295660212E-2</v>
      </c>
      <c r="D43" s="55">
        <f t="shared" si="130"/>
        <v>-0.17224660900440583</v>
      </c>
      <c r="E43" s="55">
        <f t="shared" si="130"/>
        <v>8.9986568010124463E-3</v>
      </c>
      <c r="F43" s="55">
        <f t="shared" si="130"/>
        <v>1.2157679687430149E-2</v>
      </c>
      <c r="G43" s="55">
        <f t="shared" si="130"/>
        <v>7.3683560033136489E-2</v>
      </c>
      <c r="H43" s="55">
        <f t="shared" si="130"/>
        <v>2.3049975368109907E-2</v>
      </c>
      <c r="I43" s="55">
        <f t="shared" si="130"/>
        <v>0.11097766991742702</v>
      </c>
      <c r="J43" s="55">
        <f t="shared" si="130"/>
        <v>7.9344784184500833E-2</v>
      </c>
      <c r="K43" s="55">
        <f t="shared" si="130"/>
        <v>7.5943360093864251E-2</v>
      </c>
      <c r="L43" s="55">
        <f t="shared" si="130"/>
        <v>5.0301788261953202E-2</v>
      </c>
      <c r="M43" s="55">
        <f t="shared" si="130"/>
        <v>0.11066511849728998</v>
      </c>
      <c r="N43" s="55">
        <f t="shared" si="130"/>
        <v>9.5248791583736128E-2</v>
      </c>
      <c r="O43" s="55">
        <f t="shared" si="130"/>
        <v>6.7754761147077666E-2</v>
      </c>
      <c r="P43" s="55">
        <f t="shared" si="130"/>
        <v>4.4217544099749255E-2</v>
      </c>
      <c r="Q43" s="55">
        <f t="shared" si="130"/>
        <v>9.235546837116157E-2</v>
      </c>
      <c r="R43" s="55">
        <f t="shared" si="130"/>
        <v>5.8580807919461575E-2</v>
      </c>
      <c r="S43" s="55">
        <f t="shared" si="130"/>
        <v>5.1007049345417922E-2</v>
      </c>
      <c r="T43" s="55">
        <f t="shared" si="130"/>
        <v>9.89980573885096E-2</v>
      </c>
      <c r="U43" s="55">
        <f t="shared" si="130"/>
        <v>0.13901353764182406</v>
      </c>
      <c r="V43" s="55">
        <f t="shared" si="130"/>
        <v>-0.15593001435036979</v>
      </c>
      <c r="W43" s="55">
        <f t="shared" si="130"/>
        <v>-3.8627850459450843E-5</v>
      </c>
      <c r="X43" s="55">
        <f t="shared" si="130"/>
        <v>-7.1878293101963669E-2</v>
      </c>
      <c r="Y43" s="55">
        <f t="shared" si="130"/>
        <v>0.12396630894150383</v>
      </c>
      <c r="Z43" s="55">
        <f t="shared" si="130"/>
        <v>4.1836717234799106E-2</v>
      </c>
      <c r="AA43" s="55">
        <f t="shared" si="130"/>
        <v>6.5840047480985792E-2</v>
      </c>
      <c r="AB43" s="55">
        <f t="shared" si="130"/>
        <v>-0.15454038936180536</v>
      </c>
      <c r="AC43" s="55">
        <f t="shared" si="130"/>
        <v>7.6986451513574153E-2</v>
      </c>
      <c r="AD43" s="55">
        <f t="shared" si="130"/>
        <v>3.0659964804687075E-2</v>
      </c>
      <c r="AE43" s="55">
        <f t="shared" si="130"/>
        <v>5.0467913195189298E-2</v>
      </c>
      <c r="AF43" s="55">
        <f t="shared" si="130"/>
        <v>3.0400264224890731E-2</v>
      </c>
      <c r="AG43" s="55">
        <f t="shared" si="130"/>
        <v>0.1083954448255551</v>
      </c>
      <c r="AH43" s="55">
        <f t="shared" si="130"/>
        <v>6.8186300381849307E-2</v>
      </c>
      <c r="AI43" s="55">
        <f t="shared" si="130"/>
        <v>-1.1799869619230756E-2</v>
      </c>
      <c r="AJ43" s="55">
        <f t="shared" si="130"/>
        <v>8.6466682382523974E-2</v>
      </c>
      <c r="AK43" s="55">
        <f t="shared" si="130"/>
        <v>9.8790757342048591E-2</v>
      </c>
      <c r="AL43" s="55">
        <f t="shared" si="130"/>
        <v>0.13111996448238819</v>
      </c>
      <c r="AM43" s="55">
        <f t="shared" si="130"/>
        <v>7.5785436617596763E-2</v>
      </c>
      <c r="AN43" s="55">
        <f t="shared" ref="AN43:AU43" si="131">+AN42/AN32</f>
        <v>0.10523824380587622</v>
      </c>
      <c r="AO43" s="55">
        <f t="shared" si="131"/>
        <v>0.10640227474029415</v>
      </c>
      <c r="AP43" s="55">
        <f t="shared" si="131"/>
        <v>9.8460857250935035E-2</v>
      </c>
      <c r="AQ43" s="55">
        <f t="shared" si="131"/>
        <v>0.13722422521386149</v>
      </c>
      <c r="AR43" s="55">
        <f t="shared" si="131"/>
        <v>0.11444110116926605</v>
      </c>
      <c r="AS43" s="55">
        <f t="shared" si="131"/>
        <v>0.17022533950026572</v>
      </c>
      <c r="AT43" s="55">
        <f t="shared" si="131"/>
        <v>0.10715777329258114</v>
      </c>
      <c r="AU43" s="55">
        <f t="shared" si="131"/>
        <v>8.5922381384799046E-2</v>
      </c>
      <c r="AV43" s="55">
        <f t="shared" ref="AV43" si="132">+AV42/AV32</f>
        <v>-6.4992428639129964E-3</v>
      </c>
    </row>
    <row r="46" spans="1:48" ht="20.100000000000001" customHeight="1" x14ac:dyDescent="0.2">
      <c r="B46" s="34" t="s">
        <v>162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x14ac:dyDescent="0.2">
      <c r="B47" s="36" t="s">
        <v>132</v>
      </c>
      <c r="C47" s="37" t="s">
        <v>84</v>
      </c>
      <c r="D47" s="37">
        <v>2008</v>
      </c>
      <c r="E47" s="37" t="s">
        <v>85</v>
      </c>
      <c r="F47" s="37" t="s">
        <v>86</v>
      </c>
      <c r="G47" s="37" t="s">
        <v>87</v>
      </c>
      <c r="H47" s="37">
        <v>2009</v>
      </c>
      <c r="I47" s="37" t="s">
        <v>88</v>
      </c>
      <c r="J47" s="37" t="s">
        <v>89</v>
      </c>
      <c r="K47" s="37" t="s">
        <v>90</v>
      </c>
      <c r="L47" s="37">
        <v>2010</v>
      </c>
      <c r="M47" s="37" t="s">
        <v>91</v>
      </c>
      <c r="N47" s="37" t="s">
        <v>92</v>
      </c>
      <c r="O47" s="37" t="s">
        <v>93</v>
      </c>
      <c r="P47" s="37">
        <v>2011</v>
      </c>
      <c r="Q47" s="37" t="s">
        <v>94</v>
      </c>
      <c r="R47" s="37" t="s">
        <v>95</v>
      </c>
      <c r="S47" s="37" t="s">
        <v>96</v>
      </c>
      <c r="T47" s="37">
        <v>2012</v>
      </c>
      <c r="U47" s="37" t="s">
        <v>97</v>
      </c>
      <c r="V47" s="37" t="s">
        <v>98</v>
      </c>
      <c r="W47" s="37" t="s">
        <v>99</v>
      </c>
      <c r="X47" s="37">
        <v>2013</v>
      </c>
      <c r="Y47" s="37" t="s">
        <v>100</v>
      </c>
      <c r="Z47" s="37" t="s">
        <v>101</v>
      </c>
      <c r="AA47" s="37" t="s">
        <v>102</v>
      </c>
      <c r="AB47" s="37">
        <v>2014</v>
      </c>
      <c r="AC47" s="37" t="s">
        <v>103</v>
      </c>
      <c r="AD47" s="37" t="s">
        <v>104</v>
      </c>
      <c r="AE47" s="37" t="s">
        <v>105</v>
      </c>
      <c r="AF47" s="37">
        <v>2015</v>
      </c>
      <c r="AG47" s="37" t="s">
        <v>106</v>
      </c>
      <c r="AH47" s="37" t="s">
        <v>107</v>
      </c>
      <c r="AI47" s="37" t="s">
        <v>108</v>
      </c>
      <c r="AJ47" s="37">
        <v>2016</v>
      </c>
      <c r="AK47" s="37" t="s">
        <v>109</v>
      </c>
      <c r="AL47" s="37" t="s">
        <v>110</v>
      </c>
      <c r="AM47" s="37" t="s">
        <v>111</v>
      </c>
      <c r="AN47" s="37">
        <v>2017</v>
      </c>
      <c r="AO47" s="37" t="s">
        <v>112</v>
      </c>
      <c r="AP47" s="37" t="s">
        <v>113</v>
      </c>
      <c r="AQ47" s="37" t="s">
        <v>114</v>
      </c>
      <c r="AR47" s="37">
        <v>2018</v>
      </c>
      <c r="AS47" s="37" t="s">
        <v>187</v>
      </c>
      <c r="AT47" s="37" t="s">
        <v>190</v>
      </c>
      <c r="AU47" s="37" t="s">
        <v>192</v>
      </c>
      <c r="AV47" s="37">
        <v>2019</v>
      </c>
    </row>
    <row r="48" spans="1:48" ht="15" customHeight="1" x14ac:dyDescent="0.2">
      <c r="B48" s="48" t="s">
        <v>11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71">
        <v>6091.0190000000002</v>
      </c>
      <c r="AR48" s="13">
        <v>9108.5069999999996</v>
      </c>
      <c r="AS48" s="13">
        <v>3334.1680000000001</v>
      </c>
      <c r="AT48" s="13">
        <v>5983.652</v>
      </c>
      <c r="AU48" s="13">
        <v>8246.1679999999997</v>
      </c>
      <c r="AV48" s="13">
        <v>10539.071</v>
      </c>
    </row>
    <row r="49" spans="2:48" ht="15" customHeight="1" x14ac:dyDescent="0.2">
      <c r="B49" s="26" t="s">
        <v>24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71">
        <v>2155.5390000000002</v>
      </c>
      <c r="AR49" s="13">
        <v>2964.56</v>
      </c>
      <c r="AS49" s="13">
        <v>1241.3910000000001</v>
      </c>
      <c r="AT49" s="13">
        <v>2298.6480000000001</v>
      </c>
      <c r="AU49" s="13">
        <v>3015.3539999999998</v>
      </c>
      <c r="AV49" s="13">
        <v>3983.2840000000001</v>
      </c>
    </row>
    <row r="50" spans="2:48" ht="15" customHeight="1" x14ac:dyDescent="0.2">
      <c r="B50" s="58" t="s">
        <v>163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59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89">
        <v>1927</v>
      </c>
      <c r="AR50" s="15">
        <v>2664</v>
      </c>
      <c r="AS50" s="15">
        <v>1211</v>
      </c>
      <c r="AT50" s="15">
        <v>2153</v>
      </c>
      <c r="AU50" s="89">
        <v>2773</v>
      </c>
      <c r="AV50" s="89">
        <v>3631</v>
      </c>
    </row>
    <row r="51" spans="2:48" ht="15" customHeight="1" x14ac:dyDescent="0.2">
      <c r="B51" s="58" t="s">
        <v>7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31</v>
      </c>
      <c r="AP51" s="15">
        <v>68</v>
      </c>
      <c r="AQ51" s="89">
        <v>102</v>
      </c>
      <c r="AR51" s="15">
        <v>143</v>
      </c>
      <c r="AS51" s="15">
        <v>23</v>
      </c>
      <c r="AT51" s="15">
        <v>65</v>
      </c>
      <c r="AU51" s="89">
        <v>94.685000000000002</v>
      </c>
      <c r="AV51" s="89">
        <v>145</v>
      </c>
    </row>
    <row r="52" spans="2:48" ht="15" customHeight="1" x14ac:dyDescent="0.2">
      <c r="B52" s="58" t="s">
        <v>185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74</v>
      </c>
      <c r="AQ52" s="89">
        <v>127</v>
      </c>
      <c r="AR52" s="15">
        <v>158</v>
      </c>
      <c r="AS52" s="15">
        <v>8</v>
      </c>
      <c r="AT52" s="15">
        <v>81</v>
      </c>
      <c r="AU52" s="89">
        <v>147</v>
      </c>
      <c r="AV52" s="89">
        <v>207</v>
      </c>
    </row>
    <row r="53" spans="2:48" ht="15" customHeight="1" x14ac:dyDescent="0.2">
      <c r="B53" s="26" t="s">
        <v>149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89">
        <v>81.495000000000005</v>
      </c>
      <c r="AR53" s="15">
        <v>134.465</v>
      </c>
      <c r="AS53" s="15">
        <v>45.704999999999998</v>
      </c>
      <c r="AT53" s="15">
        <v>66.742000000000004</v>
      </c>
      <c r="AU53" s="15">
        <v>103.084</v>
      </c>
      <c r="AV53" s="93"/>
    </row>
    <row r="54" spans="2:48" ht="15" customHeight="1" x14ac:dyDescent="0.2">
      <c r="B54" s="26" t="s">
        <v>148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71">
        <v>30.417999999999999</v>
      </c>
      <c r="AR54" s="13">
        <v>74.103999999999999</v>
      </c>
      <c r="AS54" s="13">
        <v>11.919</v>
      </c>
      <c r="AT54" s="13">
        <v>23.582999999999998</v>
      </c>
      <c r="AU54" s="13">
        <v>35.292999999999999</v>
      </c>
      <c r="AV54" s="13">
        <v>80.998999999999995</v>
      </c>
    </row>
    <row r="55" spans="2:48" ht="15" customHeight="1" x14ac:dyDescent="0.2">
      <c r="B55" s="49" t="s">
        <v>133</v>
      </c>
      <c r="C55" s="50">
        <v>1779</v>
      </c>
      <c r="D55" s="50">
        <v>2518</v>
      </c>
      <c r="E55" s="50">
        <v>644</v>
      </c>
      <c r="F55" s="50">
        <v>1203</v>
      </c>
      <c r="G55" s="50">
        <v>1802</v>
      </c>
      <c r="H55" s="50">
        <v>2350</v>
      </c>
      <c r="I55" s="50">
        <v>602</v>
      </c>
      <c r="J55" s="50">
        <v>1103</v>
      </c>
      <c r="K55" s="50">
        <v>1639</v>
      </c>
      <c r="L55" s="50">
        <v>2262</v>
      </c>
      <c r="M55" s="50">
        <v>690</v>
      </c>
      <c r="N55" s="50">
        <v>1393</v>
      </c>
      <c r="O55" s="50">
        <v>2188</v>
      </c>
      <c r="P55" s="50">
        <v>3211</v>
      </c>
      <c r="Q55" s="50">
        <v>1000</v>
      </c>
      <c r="R55" s="50">
        <v>1971</v>
      </c>
      <c r="S55" s="50">
        <v>2924</v>
      </c>
      <c r="T55" s="50">
        <v>3949</v>
      </c>
      <c r="U55" s="50">
        <v>1059</v>
      </c>
      <c r="V55" s="50">
        <v>1964</v>
      </c>
      <c r="W55" s="50">
        <v>2871</v>
      </c>
      <c r="X55" s="50">
        <v>3846</v>
      </c>
      <c r="Y55" s="50">
        <v>1149</v>
      </c>
      <c r="Z55" s="50">
        <v>2142</v>
      </c>
      <c r="AA55" s="50">
        <v>3197</v>
      </c>
      <c r="AB55" s="50">
        <v>4475</v>
      </c>
      <c r="AC55" s="50">
        <v>1091</v>
      </c>
      <c r="AD55" s="50">
        <v>2040</v>
      </c>
      <c r="AE55" s="50">
        <v>2847</v>
      </c>
      <c r="AF55" s="50">
        <v>3888</v>
      </c>
      <c r="AG55" s="50">
        <v>1373</v>
      </c>
      <c r="AH55" s="50">
        <v>2438</v>
      </c>
      <c r="AI55" s="50">
        <v>3413.893</v>
      </c>
      <c r="AJ55" s="50">
        <v>4737</v>
      </c>
      <c r="AK55" s="50">
        <v>1637</v>
      </c>
      <c r="AL55" s="50">
        <v>3344</v>
      </c>
      <c r="AM55" s="50">
        <v>5070.4070000000002</v>
      </c>
      <c r="AN55" s="50">
        <v>7487.1329999999998</v>
      </c>
      <c r="AO55" s="50">
        <v>2265.9</v>
      </c>
      <c r="AP55" s="50">
        <v>5102.5079999999998</v>
      </c>
      <c r="AQ55" s="50">
        <v>8358.4709999999995</v>
      </c>
      <c r="AR55" s="50">
        <v>12147.171</v>
      </c>
      <c r="AS55" s="50">
        <v>4587.4780000000001</v>
      </c>
      <c r="AT55" s="50">
        <v>8305.8829999999998</v>
      </c>
      <c r="AU55" s="50">
        <v>11296.815000000001</v>
      </c>
      <c r="AV55" s="50">
        <v>14603.353999999999</v>
      </c>
    </row>
    <row r="56" spans="2:48" ht="15" customHeight="1" x14ac:dyDescent="0.2">
      <c r="B56" s="48" t="s">
        <v>11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13">
        <v>570.75800000000004</v>
      </c>
      <c r="AR56" s="13">
        <v>955.76700000000005</v>
      </c>
      <c r="AS56" s="13">
        <v>802.93700000000001</v>
      </c>
      <c r="AT56" s="13">
        <v>1076.51</v>
      </c>
      <c r="AU56" s="13">
        <v>1395.0119999999999</v>
      </c>
      <c r="AV56" s="13">
        <v>1447.9939999999999</v>
      </c>
    </row>
    <row r="57" spans="2:48" ht="15" customHeight="1" x14ac:dyDescent="0.2">
      <c r="B57" s="26" t="s">
        <v>24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13">
        <v>161.78</v>
      </c>
      <c r="AT57" s="13">
        <v>366.036</v>
      </c>
      <c r="AU57" s="13">
        <v>458.86599999999999</v>
      </c>
      <c r="AV57" s="13">
        <v>553.93200000000002</v>
      </c>
    </row>
    <row r="58" spans="2:48" ht="15" customHeight="1" x14ac:dyDescent="0.2">
      <c r="B58" s="58" t="s">
        <v>163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348</v>
      </c>
      <c r="AO58" s="15">
        <v>115</v>
      </c>
      <c r="AP58" s="15">
        <v>212</v>
      </c>
      <c r="AQ58" s="15">
        <v>352</v>
      </c>
      <c r="AR58" s="15">
        <v>496</v>
      </c>
      <c r="AS58" s="15">
        <v>156</v>
      </c>
      <c r="AT58" s="15">
        <v>321</v>
      </c>
      <c r="AU58" s="89">
        <v>406</v>
      </c>
      <c r="AV58" s="60">
        <v>475</v>
      </c>
    </row>
    <row r="59" spans="2:48" ht="15" customHeight="1" x14ac:dyDescent="0.2">
      <c r="B59" s="58" t="s">
        <v>7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15">
        <v>67</v>
      </c>
      <c r="AR59" s="15">
        <v>93</v>
      </c>
      <c r="AS59" s="15">
        <v>11</v>
      </c>
      <c r="AT59" s="15">
        <v>39</v>
      </c>
      <c r="AU59" s="89">
        <v>54</v>
      </c>
      <c r="AV59" s="89">
        <v>90</v>
      </c>
    </row>
    <row r="60" spans="2:48" ht="15" customHeight="1" x14ac:dyDescent="0.2">
      <c r="B60" s="58" t="s">
        <v>185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11</v>
      </c>
      <c r="AQ60" s="15">
        <v>10</v>
      </c>
      <c r="AR60" s="15">
        <v>0</v>
      </c>
      <c r="AS60" s="15">
        <v>-5</v>
      </c>
      <c r="AT60" s="15">
        <v>6</v>
      </c>
      <c r="AU60" s="89">
        <v>-1</v>
      </c>
      <c r="AV60" s="89">
        <v>-11</v>
      </c>
    </row>
    <row r="61" spans="2:48" ht="15" customHeight="1" x14ac:dyDescent="0.2">
      <c r="B61" s="26" t="s">
        <v>149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13">
        <v>4.4989999999999997</v>
      </c>
      <c r="AT61" s="13">
        <v>4.1760000000000002</v>
      </c>
      <c r="AU61" s="13">
        <v>10.131</v>
      </c>
      <c r="AV61" s="93"/>
    </row>
    <row r="62" spans="2:48" ht="15" customHeight="1" x14ac:dyDescent="0.2">
      <c r="B62" s="26" t="s">
        <v>148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13">
        <v>-26.58</v>
      </c>
      <c r="AT62" s="13">
        <v>-49.363999999999997</v>
      </c>
      <c r="AU62" s="13">
        <v>-64.817999999999998</v>
      </c>
      <c r="AV62" s="89">
        <v>-80.878</v>
      </c>
    </row>
    <row r="63" spans="2:48" ht="15" customHeight="1" x14ac:dyDescent="0.2">
      <c r="B63" s="49" t="s">
        <v>134</v>
      </c>
      <c r="C63" s="50">
        <v>311</v>
      </c>
      <c r="D63" s="50">
        <v>247</v>
      </c>
      <c r="E63" s="50">
        <v>93</v>
      </c>
      <c r="F63" s="50">
        <v>90</v>
      </c>
      <c r="G63" s="50">
        <v>152</v>
      </c>
      <c r="H63" s="50">
        <v>202</v>
      </c>
      <c r="I63" s="50">
        <v>108</v>
      </c>
      <c r="J63" s="50">
        <v>176</v>
      </c>
      <c r="K63" s="50">
        <v>223</v>
      </c>
      <c r="L63" s="50">
        <v>299</v>
      </c>
      <c r="M63" s="50">
        <v>94</v>
      </c>
      <c r="N63" s="50">
        <v>189</v>
      </c>
      <c r="O63" s="50">
        <v>282</v>
      </c>
      <c r="P63" s="50">
        <v>362</v>
      </c>
      <c r="Q63" s="50">
        <v>97</v>
      </c>
      <c r="R63" s="50">
        <v>194</v>
      </c>
      <c r="S63" s="50">
        <v>262</v>
      </c>
      <c r="T63" s="50">
        <v>281</v>
      </c>
      <c r="U63" s="50">
        <v>121</v>
      </c>
      <c r="V63" s="50">
        <v>20</v>
      </c>
      <c r="W63" s="50">
        <v>59</v>
      </c>
      <c r="X63" s="50">
        <v>10</v>
      </c>
      <c r="Y63" s="50">
        <v>169</v>
      </c>
      <c r="Z63" s="50">
        <v>251</v>
      </c>
      <c r="AA63" s="50">
        <v>335</v>
      </c>
      <c r="AB63" s="50">
        <v>188</v>
      </c>
      <c r="AC63" s="50">
        <v>74</v>
      </c>
      <c r="AD63" s="50">
        <v>157</v>
      </c>
      <c r="AE63" s="50">
        <v>247</v>
      </c>
      <c r="AF63" s="50">
        <v>294</v>
      </c>
      <c r="AG63" s="50">
        <v>187</v>
      </c>
      <c r="AH63" s="50">
        <v>299</v>
      </c>
      <c r="AI63" s="50">
        <v>349</v>
      </c>
      <c r="AJ63" s="50">
        <v>529</v>
      </c>
      <c r="AK63" s="50">
        <v>223</v>
      </c>
      <c r="AL63" s="50">
        <v>485</v>
      </c>
      <c r="AM63" s="50">
        <v>683</v>
      </c>
      <c r="AN63" s="50">
        <v>1005</v>
      </c>
      <c r="AO63" s="50">
        <v>295.5</v>
      </c>
      <c r="AP63" s="50">
        <v>593</v>
      </c>
      <c r="AQ63" s="50">
        <v>982</v>
      </c>
      <c r="AR63" s="50">
        <v>1501.1880000000001</v>
      </c>
      <c r="AS63" s="50">
        <v>942.63599999999997</v>
      </c>
      <c r="AT63" s="50">
        <v>1397.3579999999999</v>
      </c>
      <c r="AU63" s="50">
        <v>1799.191</v>
      </c>
      <c r="AV63" s="50">
        <v>1921.048</v>
      </c>
    </row>
    <row r="64" spans="2:48" ht="15" customHeight="1" x14ac:dyDescent="0.2">
      <c r="B64" s="48" t="s">
        <v>11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13">
        <v>472.113</v>
      </c>
      <c r="AR64" s="13">
        <v>715.85299999999995</v>
      </c>
      <c r="AS64" s="13">
        <v>624.78300000000002</v>
      </c>
      <c r="AT64" s="13">
        <v>859.52499999999998</v>
      </c>
      <c r="AU64" s="13">
        <v>1062.0530000000001</v>
      </c>
      <c r="AV64" s="13">
        <v>984.375</v>
      </c>
    </row>
    <row r="65" spans="1:48" ht="15" customHeight="1" x14ac:dyDescent="0.2">
      <c r="B65" s="26" t="s">
        <v>24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159.66</v>
      </c>
      <c r="AQ65" s="13">
        <v>205.66</v>
      </c>
      <c r="AR65" s="13">
        <v>464.012</v>
      </c>
      <c r="AS65" s="13">
        <v>116.627</v>
      </c>
      <c r="AT65" s="13">
        <v>271.70699999999999</v>
      </c>
      <c r="AU65" s="13">
        <v>334.32799999999997</v>
      </c>
      <c r="AV65" s="13">
        <v>385.50099999999998</v>
      </c>
    </row>
    <row r="66" spans="1:48" ht="15" customHeight="1" x14ac:dyDescent="0.2">
      <c r="B66" s="58" t="s">
        <v>163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72</v>
      </c>
      <c r="AP66" s="15">
        <v>108</v>
      </c>
      <c r="AQ66" s="15">
        <v>121</v>
      </c>
      <c r="AR66" s="15">
        <v>384</v>
      </c>
      <c r="AS66" s="15">
        <v>111</v>
      </c>
      <c r="AT66" s="15">
        <v>236</v>
      </c>
      <c r="AU66" s="15">
        <v>295</v>
      </c>
      <c r="AV66" s="15">
        <v>331</v>
      </c>
    </row>
    <row r="67" spans="1:48" ht="15" customHeight="1" x14ac:dyDescent="0.2">
      <c r="B67" s="58" t="s">
        <v>7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91</v>
      </c>
      <c r="AO67" s="15">
        <v>16</v>
      </c>
      <c r="AP67" s="15">
        <v>37</v>
      </c>
      <c r="AQ67" s="15">
        <v>64</v>
      </c>
      <c r="AR67" s="15">
        <v>82</v>
      </c>
      <c r="AS67" s="15">
        <v>10</v>
      </c>
      <c r="AT67" s="15">
        <v>31</v>
      </c>
      <c r="AU67" s="15">
        <v>41</v>
      </c>
      <c r="AV67" s="15">
        <v>68</v>
      </c>
    </row>
    <row r="68" spans="1:48" ht="15" customHeight="1" x14ac:dyDescent="0.2">
      <c r="B68" s="58" t="s">
        <v>185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15</v>
      </c>
      <c r="AQ68" s="15">
        <v>21</v>
      </c>
      <c r="AR68" s="15">
        <v>-2</v>
      </c>
      <c r="AS68" s="15">
        <v>-4</v>
      </c>
      <c r="AT68" s="15">
        <v>7</v>
      </c>
      <c r="AU68" s="15">
        <v>-1</v>
      </c>
      <c r="AV68" s="15">
        <v>-14</v>
      </c>
    </row>
    <row r="69" spans="1:48" ht="15" customHeight="1" x14ac:dyDescent="0.2">
      <c r="B69" s="26" t="s">
        <v>149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13">
        <v>-25.451000000000001</v>
      </c>
      <c r="AR69" s="13">
        <v>-24.748000000000001</v>
      </c>
      <c r="AS69" s="13">
        <v>6.984</v>
      </c>
      <c r="AT69" s="13">
        <v>-0.748</v>
      </c>
      <c r="AU69" s="13">
        <v>0.48299999999999998</v>
      </c>
      <c r="AV69" s="93"/>
    </row>
    <row r="70" spans="1:48" ht="15" customHeight="1" x14ac:dyDescent="0.2">
      <c r="B70" s="26" t="s">
        <v>148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13">
        <v>329.36700000000002</v>
      </c>
      <c r="AR70" s="13">
        <v>221.66200000000001</v>
      </c>
      <c r="AS70" s="13">
        <v>32.511000000000003</v>
      </c>
      <c r="AT70" s="13">
        <v>48.877000000000002</v>
      </c>
      <c r="AU70" s="13">
        <v>39.484999999999999</v>
      </c>
      <c r="AV70" s="13">
        <v>44.982999999999997</v>
      </c>
    </row>
    <row r="71" spans="1:48" ht="15" customHeight="1" x14ac:dyDescent="0.2">
      <c r="A71" s="63" t="s">
        <v>79</v>
      </c>
      <c r="B71" s="49" t="s">
        <v>135</v>
      </c>
      <c r="C71" s="50">
        <v>218</v>
      </c>
      <c r="D71" s="50">
        <v>91</v>
      </c>
      <c r="E71" s="50">
        <v>6</v>
      </c>
      <c r="F71" s="50">
        <v>12</v>
      </c>
      <c r="G71" s="50">
        <v>57</v>
      </c>
      <c r="H71" s="50">
        <v>69</v>
      </c>
      <c r="I71" s="50">
        <v>67</v>
      </c>
      <c r="J71" s="50">
        <v>106</v>
      </c>
      <c r="K71" s="50">
        <v>147</v>
      </c>
      <c r="L71" s="50">
        <v>178</v>
      </c>
      <c r="M71" s="50">
        <v>76</v>
      </c>
      <c r="N71" s="50">
        <v>143</v>
      </c>
      <c r="O71" s="50">
        <v>197</v>
      </c>
      <c r="P71" s="50">
        <v>243</v>
      </c>
      <c r="Q71" s="50">
        <v>92</v>
      </c>
      <c r="R71" s="50">
        <v>150</v>
      </c>
      <c r="S71" s="50">
        <v>198</v>
      </c>
      <c r="T71" s="50">
        <v>300</v>
      </c>
      <c r="U71" s="50">
        <v>147</v>
      </c>
      <c r="V71" s="50">
        <v>6</v>
      </c>
      <c r="W71" s="50">
        <v>6</v>
      </c>
      <c r="X71" s="50">
        <v>-64</v>
      </c>
      <c r="Y71" s="50">
        <v>142</v>
      </c>
      <c r="Z71" s="50">
        <v>184</v>
      </c>
      <c r="AA71" s="50">
        <v>253</v>
      </c>
      <c r="AB71" s="50">
        <v>58</v>
      </c>
      <c r="AC71" s="50">
        <v>85</v>
      </c>
      <c r="AD71" s="50">
        <v>115</v>
      </c>
      <c r="AE71" s="50">
        <v>158</v>
      </c>
      <c r="AF71" s="50">
        <v>193</v>
      </c>
      <c r="AG71" s="50">
        <v>150</v>
      </c>
      <c r="AH71" s="50">
        <v>224</v>
      </c>
      <c r="AI71" s="50">
        <v>214.28800000000001</v>
      </c>
      <c r="AJ71" s="50">
        <v>330</v>
      </c>
      <c r="AK71" s="50">
        <v>161</v>
      </c>
      <c r="AL71" s="50">
        <v>385</v>
      </c>
      <c r="AM71" s="50">
        <v>516.10400000000004</v>
      </c>
      <c r="AN71" s="50">
        <v>770.72799999999995</v>
      </c>
      <c r="AO71" s="50">
        <v>241.1</v>
      </c>
      <c r="AP71" s="91">
        <v>520.39200000000005</v>
      </c>
      <c r="AQ71" s="62">
        <v>967.94400000000167</v>
      </c>
      <c r="AR71" s="62">
        <v>1401.527</v>
      </c>
      <c r="AS71" s="50">
        <v>780.90499999999997</v>
      </c>
      <c r="AT71" s="50">
        <v>1179.3610000000001</v>
      </c>
      <c r="AU71" s="50">
        <v>1436.3489999999999</v>
      </c>
      <c r="AV71" s="50">
        <v>1414.8589999999999</v>
      </c>
    </row>
    <row r="74" spans="1:48" ht="20.100000000000001" customHeight="1" x14ac:dyDescent="0.2">
      <c r="B74" s="34" t="s">
        <v>164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x14ac:dyDescent="0.2">
      <c r="B75" s="36" t="s">
        <v>132</v>
      </c>
      <c r="C75" s="37" t="s">
        <v>31</v>
      </c>
      <c r="D75" s="37" t="s">
        <v>32</v>
      </c>
      <c r="E75" s="37" t="s">
        <v>33</v>
      </c>
      <c r="F75" s="37" t="s">
        <v>34</v>
      </c>
      <c r="G75" s="37" t="s">
        <v>35</v>
      </c>
      <c r="H75" s="37" t="s">
        <v>36</v>
      </c>
      <c r="I75" s="37" t="s">
        <v>37</v>
      </c>
      <c r="J75" s="37" t="s">
        <v>38</v>
      </c>
      <c r="K75" s="37" t="s">
        <v>39</v>
      </c>
      <c r="L75" s="37" t="s">
        <v>40</v>
      </c>
      <c r="M75" s="37" t="s">
        <v>41</v>
      </c>
      <c r="N75" s="37" t="s">
        <v>42</v>
      </c>
      <c r="O75" s="37" t="s">
        <v>43</v>
      </c>
      <c r="P75" s="37" t="s">
        <v>44</v>
      </c>
      <c r="Q75" s="37" t="s">
        <v>45</v>
      </c>
      <c r="R75" s="37" t="s">
        <v>46</v>
      </c>
      <c r="S75" s="37" t="s">
        <v>47</v>
      </c>
      <c r="T75" s="37" t="s">
        <v>48</v>
      </c>
      <c r="U75" s="37" t="s">
        <v>49</v>
      </c>
      <c r="V75" s="37" t="s">
        <v>50</v>
      </c>
      <c r="W75" s="37" t="s">
        <v>51</v>
      </c>
      <c r="X75" s="37" t="s">
        <v>52</v>
      </c>
      <c r="Y75" s="37" t="s">
        <v>53</v>
      </c>
      <c r="Z75" s="37" t="s">
        <v>54</v>
      </c>
      <c r="AA75" s="37" t="s">
        <v>55</v>
      </c>
      <c r="AB75" s="37" t="s">
        <v>56</v>
      </c>
      <c r="AC75" s="37" t="s">
        <v>57</v>
      </c>
      <c r="AD75" s="37" t="s">
        <v>58</v>
      </c>
      <c r="AE75" s="37" t="s">
        <v>59</v>
      </c>
      <c r="AF75" s="37" t="s">
        <v>60</v>
      </c>
      <c r="AG75" s="37" t="s">
        <v>61</v>
      </c>
      <c r="AH75" s="37" t="s">
        <v>62</v>
      </c>
      <c r="AI75" s="37" t="s">
        <v>63</v>
      </c>
      <c r="AJ75" s="37" t="s">
        <v>64</v>
      </c>
      <c r="AK75" s="37" t="s">
        <v>65</v>
      </c>
      <c r="AL75" s="37" t="s">
        <v>66</v>
      </c>
      <c r="AM75" s="37" t="s">
        <v>67</v>
      </c>
      <c r="AN75" s="37" t="s">
        <v>68</v>
      </c>
      <c r="AO75" s="37" t="s">
        <v>69</v>
      </c>
      <c r="AP75" s="37" t="s">
        <v>70</v>
      </c>
      <c r="AQ75" s="37" t="s">
        <v>71</v>
      </c>
      <c r="AR75" s="37" t="s">
        <v>184</v>
      </c>
      <c r="AS75" s="37" t="s">
        <v>186</v>
      </c>
      <c r="AT75" s="37" t="s">
        <v>189</v>
      </c>
      <c r="AU75" s="37" t="s">
        <v>193</v>
      </c>
      <c r="AV75" s="37" t="s">
        <v>194</v>
      </c>
    </row>
    <row r="76" spans="1:48" ht="15" customHeight="1" x14ac:dyDescent="0.2">
      <c r="B76" s="48" t="s">
        <v>11</v>
      </c>
      <c r="C76" s="11">
        <v>316</v>
      </c>
      <c r="D76" s="43">
        <f>+D48-C48</f>
        <v>418</v>
      </c>
      <c r="E76" s="43">
        <f>+E48</f>
        <v>322</v>
      </c>
      <c r="F76" s="43">
        <f t="shared" ref="F76:H79" si="133">+F48-E48</f>
        <v>325</v>
      </c>
      <c r="G76" s="43">
        <f t="shared" si="133"/>
        <v>359</v>
      </c>
      <c r="H76" s="43">
        <f t="shared" si="133"/>
        <v>335</v>
      </c>
      <c r="I76" s="43">
        <f>+I48</f>
        <v>234</v>
      </c>
      <c r="J76" s="43">
        <f t="shared" ref="J76:L79" si="134">+J48-I48</f>
        <v>281</v>
      </c>
      <c r="K76" s="43">
        <f t="shared" si="134"/>
        <v>263</v>
      </c>
      <c r="L76" s="43">
        <f t="shared" si="134"/>
        <v>333</v>
      </c>
      <c r="M76" s="43">
        <f>+M48</f>
        <v>289</v>
      </c>
      <c r="N76" s="43">
        <f t="shared" ref="N76:P79" si="135">+N48-M48</f>
        <v>413</v>
      </c>
      <c r="O76" s="43">
        <f t="shared" si="135"/>
        <v>456</v>
      </c>
      <c r="P76" s="43">
        <f t="shared" si="135"/>
        <v>706</v>
      </c>
      <c r="Q76" s="43">
        <f>+Q48</f>
        <v>526</v>
      </c>
      <c r="R76" s="43">
        <f t="shared" ref="R76:T79" si="136">+R48-Q48</f>
        <v>596</v>
      </c>
      <c r="S76" s="43">
        <f t="shared" si="136"/>
        <v>618</v>
      </c>
      <c r="T76" s="43">
        <f t="shared" si="136"/>
        <v>655</v>
      </c>
      <c r="U76" s="43">
        <f>+U48</f>
        <v>554</v>
      </c>
      <c r="V76" s="43">
        <f t="shared" ref="V76:X79" si="137">+V48-U48</f>
        <v>594</v>
      </c>
      <c r="W76" s="43">
        <f t="shared" si="137"/>
        <v>599</v>
      </c>
      <c r="X76" s="43">
        <f t="shared" si="137"/>
        <v>580</v>
      </c>
      <c r="Y76" s="43">
        <f>+Y48</f>
        <v>609</v>
      </c>
      <c r="Z76" s="43">
        <f t="shared" ref="Z76:AB79" si="138">+Z48-Y48</f>
        <v>663</v>
      </c>
      <c r="AA76" s="43">
        <f t="shared" si="138"/>
        <v>709</v>
      </c>
      <c r="AB76" s="43">
        <f t="shared" si="138"/>
        <v>787</v>
      </c>
      <c r="AC76" s="43">
        <f>+AC48</f>
        <v>485</v>
      </c>
      <c r="AD76" s="43">
        <f t="shared" ref="AD76:AF79" si="139">+AD48-AC48</f>
        <v>532</v>
      </c>
      <c r="AE76" s="43">
        <f t="shared" si="139"/>
        <v>484</v>
      </c>
      <c r="AF76" s="43">
        <f t="shared" si="139"/>
        <v>652</v>
      </c>
      <c r="AG76" s="43">
        <f>+AG48</f>
        <v>628</v>
      </c>
      <c r="AH76" s="43">
        <f t="shared" ref="AH76:AJ79" si="140">+AH48-AG48</f>
        <v>690</v>
      </c>
      <c r="AI76" s="43">
        <f t="shared" si="140"/>
        <v>656.86400000000003</v>
      </c>
      <c r="AJ76" s="43">
        <f t="shared" si="140"/>
        <v>849.13599999999997</v>
      </c>
      <c r="AK76" s="43">
        <f>+AK48</f>
        <v>911</v>
      </c>
      <c r="AL76" s="43">
        <f>+AL48-AK48</f>
        <v>1039</v>
      </c>
      <c r="AM76" s="43">
        <f t="shared" ref="AM76:AM99" si="141">+AM48-AL48</f>
        <v>1127.6869999999999</v>
      </c>
      <c r="AN76" s="43">
        <f t="shared" ref="AN76:AQ91" si="142">+AN48-AM48</f>
        <v>1783.8530000000001</v>
      </c>
      <c r="AO76" s="43">
        <f>+AO48</f>
        <v>1488.3</v>
      </c>
      <c r="AP76" s="43">
        <f t="shared" ref="AP76:AR84" si="143">+AP48-AO48</f>
        <v>2109.4489999999996</v>
      </c>
      <c r="AQ76" s="43">
        <f t="shared" si="143"/>
        <v>2493.2700000000004</v>
      </c>
      <c r="AR76" s="43">
        <f>+AR48-AQ48</f>
        <v>3017.4879999999994</v>
      </c>
      <c r="AS76" s="43">
        <f>+AS48</f>
        <v>3334.1680000000001</v>
      </c>
      <c r="AT76" s="43">
        <f t="shared" ref="AT76:AV80" si="144">+AT48-AS48</f>
        <v>2649.4839999999999</v>
      </c>
      <c r="AU76" s="43">
        <f t="shared" si="144"/>
        <v>2262.5159999999996</v>
      </c>
      <c r="AV76" s="43">
        <f>+AV48-AU48</f>
        <v>2292.9030000000002</v>
      </c>
    </row>
    <row r="77" spans="1:48" ht="15" customHeight="1" x14ac:dyDescent="0.2">
      <c r="B77" s="26" t="s">
        <v>24</v>
      </c>
      <c r="C77" s="13">
        <v>211</v>
      </c>
      <c r="D77" s="13">
        <f>+D49-C49</f>
        <v>300</v>
      </c>
      <c r="E77" s="13">
        <f>+E49</f>
        <v>301</v>
      </c>
      <c r="F77" s="13">
        <f t="shared" si="133"/>
        <v>173</v>
      </c>
      <c r="G77" s="13">
        <f t="shared" si="133"/>
        <v>219</v>
      </c>
      <c r="H77" s="13">
        <f t="shared" si="133"/>
        <v>190</v>
      </c>
      <c r="I77" s="13">
        <f>+I49</f>
        <v>342</v>
      </c>
      <c r="J77" s="13">
        <f t="shared" si="134"/>
        <v>185</v>
      </c>
      <c r="K77" s="13">
        <f t="shared" si="134"/>
        <v>240</v>
      </c>
      <c r="L77" s="13">
        <f t="shared" si="134"/>
        <v>260</v>
      </c>
      <c r="M77" s="13">
        <f>+M49</f>
        <v>371</v>
      </c>
      <c r="N77" s="13">
        <f t="shared" si="135"/>
        <v>257</v>
      </c>
      <c r="O77" s="13">
        <f t="shared" si="135"/>
        <v>295</v>
      </c>
      <c r="P77" s="13">
        <f t="shared" si="135"/>
        <v>285</v>
      </c>
      <c r="Q77" s="13">
        <f>+Q49</f>
        <v>451</v>
      </c>
      <c r="R77" s="13">
        <f t="shared" si="136"/>
        <v>347</v>
      </c>
      <c r="S77" s="13">
        <f t="shared" si="136"/>
        <v>269</v>
      </c>
      <c r="T77" s="13">
        <f t="shared" si="136"/>
        <v>357</v>
      </c>
      <c r="U77" s="13">
        <f>+U49</f>
        <v>477</v>
      </c>
      <c r="V77" s="13">
        <f t="shared" si="137"/>
        <v>287</v>
      </c>
      <c r="W77" s="13">
        <f t="shared" si="137"/>
        <v>286</v>
      </c>
      <c r="X77" s="13">
        <f t="shared" si="137"/>
        <v>373</v>
      </c>
      <c r="Y77" s="13">
        <f>+Y49</f>
        <v>514</v>
      </c>
      <c r="Z77" s="13">
        <f t="shared" si="138"/>
        <v>306</v>
      </c>
      <c r="AA77" s="13">
        <f t="shared" si="138"/>
        <v>325</v>
      </c>
      <c r="AB77" s="13">
        <f t="shared" si="138"/>
        <v>481</v>
      </c>
      <c r="AC77" s="13">
        <f>+AC49</f>
        <v>586</v>
      </c>
      <c r="AD77" s="13">
        <f t="shared" si="139"/>
        <v>392</v>
      </c>
      <c r="AE77" s="13">
        <f t="shared" si="139"/>
        <v>306</v>
      </c>
      <c r="AF77" s="13">
        <f t="shared" si="139"/>
        <v>375</v>
      </c>
      <c r="AG77" s="13">
        <f>+AG49</f>
        <v>731</v>
      </c>
      <c r="AH77" s="13">
        <f t="shared" si="140"/>
        <v>360</v>
      </c>
      <c r="AI77" s="13">
        <f t="shared" si="140"/>
        <v>302.47000000000003</v>
      </c>
      <c r="AJ77" s="13">
        <f t="shared" si="140"/>
        <v>457.53</v>
      </c>
      <c r="AK77" s="13">
        <f>+AK49</f>
        <v>676</v>
      </c>
      <c r="AL77" s="13">
        <f>+AL49-AK49</f>
        <v>480</v>
      </c>
      <c r="AM77" s="13">
        <f t="shared" si="141"/>
        <v>498.43200000000002</v>
      </c>
      <c r="AN77" s="13">
        <f t="shared" si="142"/>
        <v>586.00200000000018</v>
      </c>
      <c r="AO77" s="13">
        <f>+AO49</f>
        <v>743.7</v>
      </c>
      <c r="AP77" s="13">
        <f t="shared" si="143"/>
        <v>701.298</v>
      </c>
      <c r="AQ77" s="13">
        <f t="shared" si="143"/>
        <v>710.54100000000017</v>
      </c>
      <c r="AR77" s="13">
        <f t="shared" si="143"/>
        <v>809.02099999999973</v>
      </c>
      <c r="AS77" s="13">
        <f>+AS49</f>
        <v>1241.3910000000001</v>
      </c>
      <c r="AT77" s="13">
        <f t="shared" si="144"/>
        <v>1057.2570000000001</v>
      </c>
      <c r="AU77" s="13">
        <f t="shared" si="144"/>
        <v>716.70599999999968</v>
      </c>
      <c r="AV77" s="13">
        <f t="shared" si="144"/>
        <v>967.93000000000029</v>
      </c>
    </row>
    <row r="78" spans="1:48" ht="15" customHeight="1" x14ac:dyDescent="0.2">
      <c r="B78" s="58" t="s">
        <v>163</v>
      </c>
      <c r="C78" s="15">
        <v>202</v>
      </c>
      <c r="D78" s="15">
        <f>+D50-C50</f>
        <v>288</v>
      </c>
      <c r="E78" s="15">
        <f>+E50</f>
        <v>290</v>
      </c>
      <c r="F78" s="15">
        <f t="shared" si="133"/>
        <v>160</v>
      </c>
      <c r="G78" s="15">
        <f t="shared" si="133"/>
        <v>204</v>
      </c>
      <c r="H78" s="15">
        <f t="shared" si="133"/>
        <v>176</v>
      </c>
      <c r="I78" s="15">
        <f>+I50</f>
        <v>329</v>
      </c>
      <c r="J78" s="15">
        <f t="shared" si="134"/>
        <v>169</v>
      </c>
      <c r="K78" s="15">
        <f t="shared" si="134"/>
        <v>225</v>
      </c>
      <c r="L78" s="15">
        <f t="shared" si="134"/>
        <v>246</v>
      </c>
      <c r="M78" s="15">
        <f>+M50</f>
        <v>358</v>
      </c>
      <c r="N78" s="15">
        <f t="shared" si="135"/>
        <v>242</v>
      </c>
      <c r="O78" s="15">
        <f t="shared" si="135"/>
        <v>280</v>
      </c>
      <c r="P78" s="15">
        <f t="shared" si="135"/>
        <v>272</v>
      </c>
      <c r="Q78" s="15">
        <f>+Q50</f>
        <v>438</v>
      </c>
      <c r="R78" s="15">
        <f t="shared" si="136"/>
        <v>330</v>
      </c>
      <c r="S78" s="15">
        <f t="shared" si="136"/>
        <v>252</v>
      </c>
      <c r="T78" s="15">
        <f t="shared" si="136"/>
        <v>337</v>
      </c>
      <c r="U78" s="15">
        <f>+U50</f>
        <v>460</v>
      </c>
      <c r="V78" s="15">
        <f t="shared" si="137"/>
        <v>271</v>
      </c>
      <c r="W78" s="15">
        <f t="shared" si="137"/>
        <v>266</v>
      </c>
      <c r="X78" s="15">
        <f t="shared" si="137"/>
        <v>357</v>
      </c>
      <c r="Y78" s="15">
        <f>+Y50</f>
        <v>493</v>
      </c>
      <c r="Z78" s="15">
        <f t="shared" si="138"/>
        <v>293</v>
      </c>
      <c r="AA78" s="15">
        <f t="shared" si="138"/>
        <v>302</v>
      </c>
      <c r="AB78" s="15">
        <f t="shared" si="138"/>
        <v>453</v>
      </c>
      <c r="AC78" s="15">
        <f>+AC50</f>
        <v>559</v>
      </c>
      <c r="AD78" s="15">
        <f t="shared" si="139"/>
        <v>366</v>
      </c>
      <c r="AE78" s="15">
        <f t="shared" si="139"/>
        <v>273</v>
      </c>
      <c r="AF78" s="15">
        <f t="shared" si="139"/>
        <v>338</v>
      </c>
      <c r="AG78" s="15">
        <f>+AG50</f>
        <v>695</v>
      </c>
      <c r="AH78" s="15">
        <f t="shared" si="140"/>
        <v>328</v>
      </c>
      <c r="AI78" s="15">
        <f t="shared" si="140"/>
        <v>271</v>
      </c>
      <c r="AJ78" s="15">
        <f t="shared" si="140"/>
        <v>421</v>
      </c>
      <c r="AK78" s="15">
        <f>+AK50</f>
        <v>637</v>
      </c>
      <c r="AL78" s="15">
        <f>+AL50-AK50</f>
        <v>442</v>
      </c>
      <c r="AM78" s="15">
        <f t="shared" si="141"/>
        <v>439</v>
      </c>
      <c r="AN78" s="15">
        <f t="shared" si="142"/>
        <v>551</v>
      </c>
      <c r="AO78" s="15">
        <f>+AO50</f>
        <v>713</v>
      </c>
      <c r="AP78" s="15">
        <f t="shared" si="143"/>
        <v>590</v>
      </c>
      <c r="AQ78" s="15">
        <f t="shared" si="143"/>
        <v>624</v>
      </c>
      <c r="AR78" s="15">
        <f t="shared" si="143"/>
        <v>737</v>
      </c>
      <c r="AS78" s="15">
        <f>+AS50</f>
        <v>1211</v>
      </c>
      <c r="AT78" s="15">
        <f t="shared" si="144"/>
        <v>942</v>
      </c>
      <c r="AU78" s="15">
        <f t="shared" si="144"/>
        <v>620</v>
      </c>
      <c r="AV78" s="15">
        <f t="shared" si="144"/>
        <v>858</v>
      </c>
    </row>
    <row r="79" spans="1:48" ht="15" customHeight="1" x14ac:dyDescent="0.2">
      <c r="B79" s="58" t="s">
        <v>7</v>
      </c>
      <c r="C79" s="15">
        <v>10</v>
      </c>
      <c r="D79" s="15">
        <f>+D51-C51</f>
        <v>12</v>
      </c>
      <c r="E79" s="15">
        <f>+E51</f>
        <v>11</v>
      </c>
      <c r="F79" s="15">
        <f t="shared" si="133"/>
        <v>13</v>
      </c>
      <c r="G79" s="15">
        <f t="shared" si="133"/>
        <v>15</v>
      </c>
      <c r="H79" s="15">
        <f t="shared" si="133"/>
        <v>14</v>
      </c>
      <c r="I79" s="15">
        <f>+I51</f>
        <v>13</v>
      </c>
      <c r="J79" s="15">
        <f t="shared" si="134"/>
        <v>16</v>
      </c>
      <c r="K79" s="15">
        <f t="shared" si="134"/>
        <v>15</v>
      </c>
      <c r="L79" s="15">
        <f t="shared" si="134"/>
        <v>14</v>
      </c>
      <c r="M79" s="15">
        <f>+M51</f>
        <v>13</v>
      </c>
      <c r="N79" s="15">
        <f t="shared" si="135"/>
        <v>15</v>
      </c>
      <c r="O79" s="15">
        <f t="shared" si="135"/>
        <v>15</v>
      </c>
      <c r="P79" s="15">
        <f t="shared" si="135"/>
        <v>13</v>
      </c>
      <c r="Q79" s="15">
        <f>+Q51</f>
        <v>13</v>
      </c>
      <c r="R79" s="15">
        <f t="shared" si="136"/>
        <v>17</v>
      </c>
      <c r="S79" s="15">
        <f t="shared" si="136"/>
        <v>17</v>
      </c>
      <c r="T79" s="15">
        <f t="shared" si="136"/>
        <v>20</v>
      </c>
      <c r="U79" s="15">
        <f>+U51</f>
        <v>17</v>
      </c>
      <c r="V79" s="15">
        <f t="shared" si="137"/>
        <v>16</v>
      </c>
      <c r="W79" s="15">
        <f t="shared" si="137"/>
        <v>20</v>
      </c>
      <c r="X79" s="15">
        <f t="shared" si="137"/>
        <v>16</v>
      </c>
      <c r="Y79" s="15">
        <f>+Y51</f>
        <v>21</v>
      </c>
      <c r="Z79" s="15">
        <f t="shared" si="138"/>
        <v>13</v>
      </c>
      <c r="AA79" s="15">
        <f t="shared" si="138"/>
        <v>23</v>
      </c>
      <c r="AB79" s="15">
        <f t="shared" si="138"/>
        <v>28</v>
      </c>
      <c r="AC79" s="15">
        <f>+AC51</f>
        <v>27</v>
      </c>
      <c r="AD79" s="15">
        <f t="shared" si="139"/>
        <v>26</v>
      </c>
      <c r="AE79" s="15">
        <f t="shared" si="139"/>
        <v>33</v>
      </c>
      <c r="AF79" s="15">
        <f t="shared" si="139"/>
        <v>37</v>
      </c>
      <c r="AG79" s="15">
        <f>+AG51</f>
        <v>36</v>
      </c>
      <c r="AH79" s="15">
        <f t="shared" si="140"/>
        <v>32</v>
      </c>
      <c r="AI79" s="15">
        <f t="shared" si="140"/>
        <v>31</v>
      </c>
      <c r="AJ79" s="15">
        <f t="shared" si="140"/>
        <v>38</v>
      </c>
      <c r="AK79" s="15">
        <f>+AK51</f>
        <v>39</v>
      </c>
      <c r="AL79" s="15">
        <f>+AL51-AK51</f>
        <v>38</v>
      </c>
      <c r="AM79" s="15">
        <f t="shared" si="141"/>
        <v>47</v>
      </c>
      <c r="AN79" s="15">
        <f t="shared" si="142"/>
        <v>47</v>
      </c>
      <c r="AO79" s="15">
        <f>+AO51</f>
        <v>31</v>
      </c>
      <c r="AP79" s="15">
        <f t="shared" si="143"/>
        <v>37</v>
      </c>
      <c r="AQ79" s="15">
        <f t="shared" si="143"/>
        <v>34</v>
      </c>
      <c r="AR79" s="15">
        <f t="shared" si="143"/>
        <v>41</v>
      </c>
      <c r="AS79" s="15">
        <f>+AS51</f>
        <v>23</v>
      </c>
      <c r="AT79" s="15">
        <f t="shared" si="144"/>
        <v>42</v>
      </c>
      <c r="AU79" s="15">
        <f t="shared" si="144"/>
        <v>29.685000000000002</v>
      </c>
      <c r="AV79" s="15">
        <f t="shared" si="144"/>
        <v>50.314999999999998</v>
      </c>
    </row>
    <row r="80" spans="1:48" ht="15" customHeight="1" x14ac:dyDescent="0.2">
      <c r="B80" s="58" t="s">
        <v>185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si="141"/>
        <v>3</v>
      </c>
      <c r="AN80" s="15">
        <f t="shared" si="142"/>
        <v>21</v>
      </c>
      <c r="AO80" s="15">
        <f>+AO52</f>
        <v>1</v>
      </c>
      <c r="AP80" s="15">
        <f t="shared" si="143"/>
        <v>73</v>
      </c>
      <c r="AQ80" s="15">
        <f>+AQ52-AP52</f>
        <v>53</v>
      </c>
      <c r="AR80" s="15">
        <f t="shared" si="143"/>
        <v>31</v>
      </c>
      <c r="AS80" s="15">
        <f>+AS52</f>
        <v>8</v>
      </c>
      <c r="AT80" s="15">
        <f t="shared" si="144"/>
        <v>73</v>
      </c>
      <c r="AU80" s="15">
        <f t="shared" si="144"/>
        <v>66</v>
      </c>
      <c r="AV80" s="15">
        <f t="shared" si="144"/>
        <v>60</v>
      </c>
    </row>
    <row r="81" spans="2:48" ht="15" customHeight="1" x14ac:dyDescent="0.2">
      <c r="B81" s="26" t="s">
        <v>149</v>
      </c>
      <c r="C81" s="13">
        <v>7</v>
      </c>
      <c r="D81" s="13">
        <f t="shared" ref="D81:D87" si="145">+D53-C53</f>
        <v>6</v>
      </c>
      <c r="E81" s="13">
        <f t="shared" ref="E81:E87" si="146">+E53</f>
        <v>6</v>
      </c>
      <c r="F81" s="13">
        <f t="shared" ref="F81:H87" si="147">+F53-E53</f>
        <v>42</v>
      </c>
      <c r="G81" s="13">
        <f t="shared" si="147"/>
        <v>5</v>
      </c>
      <c r="H81" s="13">
        <f t="shared" si="147"/>
        <v>10</v>
      </c>
      <c r="I81" s="13">
        <f t="shared" ref="I81:I87" si="148">+I53</f>
        <v>10</v>
      </c>
      <c r="J81" s="13">
        <f t="shared" ref="J81:L87" si="149">+J53-I53</f>
        <v>16</v>
      </c>
      <c r="K81" s="13">
        <f t="shared" si="149"/>
        <v>15</v>
      </c>
      <c r="L81" s="13">
        <f t="shared" si="149"/>
        <v>13</v>
      </c>
      <c r="M81" s="13">
        <f t="shared" ref="M81:M87" si="150">+M53</f>
        <v>10</v>
      </c>
      <c r="N81" s="13">
        <f t="shared" ref="N81:P87" si="151">+N53-M53</f>
        <v>14</v>
      </c>
      <c r="O81" s="13">
        <f t="shared" si="151"/>
        <v>20</v>
      </c>
      <c r="P81" s="13">
        <f t="shared" si="151"/>
        <v>14</v>
      </c>
      <c r="Q81" s="13">
        <f t="shared" ref="Q81:Q87" si="152">+Q53</f>
        <v>6</v>
      </c>
      <c r="R81" s="13">
        <f t="shared" ref="R81:T87" si="153">+R53-Q53</f>
        <v>5</v>
      </c>
      <c r="S81" s="13">
        <f t="shared" si="153"/>
        <v>48</v>
      </c>
      <c r="T81" s="13">
        <f t="shared" si="153"/>
        <v>2</v>
      </c>
      <c r="U81" s="13">
        <f t="shared" ref="U81:U87" si="154">+U53</f>
        <v>10</v>
      </c>
      <c r="V81" s="13">
        <f t="shared" ref="V81:X87" si="155">+V53-U53</f>
        <v>7</v>
      </c>
      <c r="W81" s="13">
        <f t="shared" si="155"/>
        <v>6</v>
      </c>
      <c r="X81" s="13">
        <f t="shared" si="155"/>
        <v>7</v>
      </c>
      <c r="Y81" s="13">
        <f t="shared" ref="Y81:Y87" si="156">+Y53</f>
        <v>7</v>
      </c>
      <c r="Z81" s="13">
        <f t="shared" ref="Z81:AB87" si="157">+Z53-Y53</f>
        <v>6</v>
      </c>
      <c r="AA81" s="13">
        <f t="shared" si="157"/>
        <v>7</v>
      </c>
      <c r="AB81" s="13">
        <f t="shared" si="157"/>
        <v>6</v>
      </c>
      <c r="AC81" s="13">
        <f t="shared" ref="AC81:AC87" si="158">+AC53</f>
        <v>7</v>
      </c>
      <c r="AD81" s="13">
        <f t="shared" ref="AD81:AF87" si="159">+AD53-AC53</f>
        <v>7</v>
      </c>
      <c r="AE81" s="13">
        <f t="shared" si="159"/>
        <v>7</v>
      </c>
      <c r="AF81" s="13">
        <f t="shared" si="159"/>
        <v>7</v>
      </c>
      <c r="AG81" s="13">
        <f t="shared" ref="AG81:AG87" si="160">+AG53</f>
        <v>7</v>
      </c>
      <c r="AH81" s="13">
        <f t="shared" ref="AH81:AJ87" si="161">+AH53-AG53</f>
        <v>7</v>
      </c>
      <c r="AI81" s="13">
        <f t="shared" si="161"/>
        <v>9.59</v>
      </c>
      <c r="AJ81" s="13">
        <f t="shared" si="161"/>
        <v>9.41</v>
      </c>
      <c r="AK81" s="13">
        <f t="shared" ref="AK81:AK87" si="162">+AK53</f>
        <v>42</v>
      </c>
      <c r="AL81" s="13">
        <f t="shared" ref="AL81:AL87" si="163">+AL53-AK53</f>
        <v>180</v>
      </c>
      <c r="AM81" s="13">
        <f t="shared" si="141"/>
        <v>90.726999999999975</v>
      </c>
      <c r="AN81" s="13">
        <f t="shared" si="142"/>
        <v>38.017000000000053</v>
      </c>
      <c r="AO81" s="13">
        <f t="shared" ref="AO81:AO88" si="164">+AO53</f>
        <v>24.3</v>
      </c>
      <c r="AP81" s="13">
        <f>+AP53-AO53</f>
        <v>15.929999999999996</v>
      </c>
      <c r="AQ81" s="13">
        <f t="shared" si="143"/>
        <v>41.265000000000008</v>
      </c>
      <c r="AR81" s="13">
        <f t="shared" si="143"/>
        <v>52.97</v>
      </c>
      <c r="AS81" s="13">
        <f t="shared" ref="AS81:AS87" si="165">+AS53</f>
        <v>45.704999999999998</v>
      </c>
      <c r="AT81" s="13">
        <f t="shared" ref="AT81:AV84" si="166">+AT53-AS53</f>
        <v>21.037000000000006</v>
      </c>
      <c r="AU81" s="13">
        <f t="shared" si="166"/>
        <v>36.341999999999999</v>
      </c>
      <c r="AV81" s="93"/>
    </row>
    <row r="82" spans="2:48" ht="15" customHeight="1" x14ac:dyDescent="0.2">
      <c r="B82" s="26" t="s">
        <v>148</v>
      </c>
      <c r="C82" s="19">
        <v>16</v>
      </c>
      <c r="D82" s="19">
        <f t="shared" si="145"/>
        <v>16</v>
      </c>
      <c r="E82" s="19">
        <f t="shared" si="146"/>
        <v>15</v>
      </c>
      <c r="F82" s="19">
        <f t="shared" si="147"/>
        <v>19</v>
      </c>
      <c r="G82" s="19">
        <f t="shared" si="147"/>
        <v>16</v>
      </c>
      <c r="H82" s="19">
        <f t="shared" si="147"/>
        <v>13</v>
      </c>
      <c r="I82" s="19">
        <f t="shared" si="148"/>
        <v>16</v>
      </c>
      <c r="J82" s="19">
        <f t="shared" si="149"/>
        <v>20</v>
      </c>
      <c r="K82" s="19">
        <f t="shared" si="149"/>
        <v>17</v>
      </c>
      <c r="L82" s="19">
        <f t="shared" si="149"/>
        <v>18</v>
      </c>
      <c r="M82" s="19">
        <f t="shared" si="150"/>
        <v>21</v>
      </c>
      <c r="N82" s="19">
        <f t="shared" si="151"/>
        <v>19</v>
      </c>
      <c r="O82" s="19">
        <f t="shared" si="151"/>
        <v>22</v>
      </c>
      <c r="P82" s="19">
        <f t="shared" si="151"/>
        <v>19</v>
      </c>
      <c r="Q82" s="19">
        <f t="shared" si="152"/>
        <v>18</v>
      </c>
      <c r="R82" s="19">
        <f t="shared" si="153"/>
        <v>21</v>
      </c>
      <c r="S82" s="19">
        <f t="shared" si="153"/>
        <v>19</v>
      </c>
      <c r="T82" s="19">
        <f t="shared" si="153"/>
        <v>10</v>
      </c>
      <c r="U82" s="19">
        <f t="shared" si="154"/>
        <v>18</v>
      </c>
      <c r="V82" s="19">
        <f t="shared" si="155"/>
        <v>18</v>
      </c>
      <c r="W82" s="19">
        <f t="shared" si="155"/>
        <v>14</v>
      </c>
      <c r="X82" s="19">
        <f t="shared" si="155"/>
        <v>17</v>
      </c>
      <c r="Y82" s="19">
        <f t="shared" si="156"/>
        <v>19</v>
      </c>
      <c r="Z82" s="19">
        <f t="shared" si="157"/>
        <v>17</v>
      </c>
      <c r="AA82" s="19">
        <f t="shared" si="157"/>
        <v>15</v>
      </c>
      <c r="AB82" s="19">
        <f t="shared" si="157"/>
        <v>4</v>
      </c>
      <c r="AC82" s="19">
        <f t="shared" si="158"/>
        <v>13</v>
      </c>
      <c r="AD82" s="19">
        <f t="shared" si="159"/>
        <v>18</v>
      </c>
      <c r="AE82" s="19">
        <f t="shared" si="159"/>
        <v>10</v>
      </c>
      <c r="AF82" s="19">
        <f t="shared" si="159"/>
        <v>7</v>
      </c>
      <c r="AG82" s="19">
        <f t="shared" si="160"/>
        <v>7</v>
      </c>
      <c r="AH82" s="19">
        <f t="shared" si="161"/>
        <v>7</v>
      </c>
      <c r="AI82" s="19">
        <f t="shared" si="161"/>
        <v>7.9690000000000012</v>
      </c>
      <c r="AJ82" s="19">
        <f t="shared" si="161"/>
        <v>8.0309999999999988</v>
      </c>
      <c r="AK82" s="19">
        <f t="shared" si="162"/>
        <v>8</v>
      </c>
      <c r="AL82" s="19">
        <f t="shared" si="163"/>
        <v>9</v>
      </c>
      <c r="AM82" s="19">
        <f t="shared" si="141"/>
        <v>8.5609999999999999</v>
      </c>
      <c r="AN82" s="19">
        <f t="shared" si="142"/>
        <v>8.8539999999999992</v>
      </c>
      <c r="AO82" s="19">
        <f t="shared" si="164"/>
        <v>9.6</v>
      </c>
      <c r="AP82" s="19">
        <f>+AP54-AO54</f>
        <v>9.9309999999999992</v>
      </c>
      <c r="AQ82" s="19">
        <f t="shared" si="143"/>
        <v>10.887</v>
      </c>
      <c r="AR82" s="19">
        <f t="shared" si="143"/>
        <v>43.686</v>
      </c>
      <c r="AS82" s="19">
        <f t="shared" si="165"/>
        <v>11.919</v>
      </c>
      <c r="AT82" s="19">
        <f t="shared" si="166"/>
        <v>11.663999999999998</v>
      </c>
      <c r="AU82" s="19">
        <f t="shared" si="166"/>
        <v>11.71</v>
      </c>
      <c r="AV82" s="19">
        <f t="shared" si="166"/>
        <v>45.705999999999996</v>
      </c>
    </row>
    <row r="83" spans="2:48" ht="15" customHeight="1" x14ac:dyDescent="0.2">
      <c r="B83" s="49" t="s">
        <v>133</v>
      </c>
      <c r="C83" s="50">
        <v>550</v>
      </c>
      <c r="D83" s="50">
        <f t="shared" si="145"/>
        <v>739</v>
      </c>
      <c r="E83" s="50">
        <f t="shared" si="146"/>
        <v>644</v>
      </c>
      <c r="F83" s="50">
        <f t="shared" si="147"/>
        <v>559</v>
      </c>
      <c r="G83" s="50">
        <f t="shared" si="147"/>
        <v>599</v>
      </c>
      <c r="H83" s="50">
        <f t="shared" si="147"/>
        <v>548</v>
      </c>
      <c r="I83" s="50">
        <f t="shared" si="148"/>
        <v>602</v>
      </c>
      <c r="J83" s="50">
        <f t="shared" si="149"/>
        <v>501</v>
      </c>
      <c r="K83" s="50">
        <f t="shared" si="149"/>
        <v>536</v>
      </c>
      <c r="L83" s="50">
        <f t="shared" si="149"/>
        <v>623</v>
      </c>
      <c r="M83" s="50">
        <f t="shared" si="150"/>
        <v>690</v>
      </c>
      <c r="N83" s="50">
        <f t="shared" si="151"/>
        <v>703</v>
      </c>
      <c r="O83" s="50">
        <f t="shared" si="151"/>
        <v>795</v>
      </c>
      <c r="P83" s="50">
        <f t="shared" si="151"/>
        <v>1023</v>
      </c>
      <c r="Q83" s="50">
        <f t="shared" si="152"/>
        <v>1000</v>
      </c>
      <c r="R83" s="50">
        <f t="shared" si="153"/>
        <v>971</v>
      </c>
      <c r="S83" s="50">
        <f t="shared" si="153"/>
        <v>953</v>
      </c>
      <c r="T83" s="50">
        <f t="shared" si="153"/>
        <v>1025</v>
      </c>
      <c r="U83" s="50">
        <f t="shared" si="154"/>
        <v>1059</v>
      </c>
      <c r="V83" s="50">
        <f t="shared" si="155"/>
        <v>905</v>
      </c>
      <c r="W83" s="50">
        <f t="shared" si="155"/>
        <v>907</v>
      </c>
      <c r="X83" s="50">
        <f t="shared" si="155"/>
        <v>975</v>
      </c>
      <c r="Y83" s="50">
        <f t="shared" si="156"/>
        <v>1149</v>
      </c>
      <c r="Z83" s="50">
        <f t="shared" si="157"/>
        <v>993</v>
      </c>
      <c r="AA83" s="50">
        <f t="shared" si="157"/>
        <v>1055</v>
      </c>
      <c r="AB83" s="50">
        <f t="shared" si="157"/>
        <v>1278</v>
      </c>
      <c r="AC83" s="50">
        <f t="shared" si="158"/>
        <v>1091</v>
      </c>
      <c r="AD83" s="50">
        <f t="shared" si="159"/>
        <v>949</v>
      </c>
      <c r="AE83" s="50">
        <f t="shared" si="159"/>
        <v>807</v>
      </c>
      <c r="AF83" s="50">
        <f t="shared" si="159"/>
        <v>1041</v>
      </c>
      <c r="AG83" s="50">
        <f t="shared" si="160"/>
        <v>1373</v>
      </c>
      <c r="AH83" s="50">
        <f t="shared" si="161"/>
        <v>1065</v>
      </c>
      <c r="AI83" s="50">
        <f t="shared" si="161"/>
        <v>975.89300000000003</v>
      </c>
      <c r="AJ83" s="50">
        <f t="shared" si="161"/>
        <v>1323.107</v>
      </c>
      <c r="AK83" s="50">
        <f t="shared" si="162"/>
        <v>1637</v>
      </c>
      <c r="AL83" s="50">
        <f t="shared" si="163"/>
        <v>1707</v>
      </c>
      <c r="AM83" s="50">
        <f t="shared" si="141"/>
        <v>1726.4070000000002</v>
      </c>
      <c r="AN83" s="50">
        <f t="shared" si="142"/>
        <v>2416.7259999999997</v>
      </c>
      <c r="AO83" s="50">
        <f t="shared" si="164"/>
        <v>2265.9</v>
      </c>
      <c r="AP83" s="50">
        <f>+AP55-AO55</f>
        <v>2836.6079999999997</v>
      </c>
      <c r="AQ83" s="50">
        <f t="shared" si="143"/>
        <v>3255.9629999999997</v>
      </c>
      <c r="AR83" s="50">
        <f t="shared" si="143"/>
        <v>3788.7000000000007</v>
      </c>
      <c r="AS83" s="50">
        <f t="shared" si="165"/>
        <v>4587.4780000000001</v>
      </c>
      <c r="AT83" s="50">
        <f t="shared" si="166"/>
        <v>3718.4049999999997</v>
      </c>
      <c r="AU83" s="50">
        <f t="shared" si="166"/>
        <v>2990.9320000000007</v>
      </c>
      <c r="AV83" s="50">
        <f t="shared" si="166"/>
        <v>3306.5389999999989</v>
      </c>
    </row>
    <row r="84" spans="2:48" ht="15" customHeight="1" x14ac:dyDescent="0.2">
      <c r="B84" s="48" t="s">
        <v>11</v>
      </c>
      <c r="C84" s="11">
        <v>32</v>
      </c>
      <c r="D84" s="11">
        <f t="shared" si="145"/>
        <v>11</v>
      </c>
      <c r="E84" s="11">
        <f t="shared" si="146"/>
        <v>51</v>
      </c>
      <c r="F84" s="11">
        <f t="shared" si="147"/>
        <v>26</v>
      </c>
      <c r="G84" s="11">
        <f t="shared" si="147"/>
        <v>37</v>
      </c>
      <c r="H84" s="11">
        <f t="shared" si="147"/>
        <v>36</v>
      </c>
      <c r="I84" s="11">
        <f t="shared" si="148"/>
        <v>39</v>
      </c>
      <c r="J84" s="11">
        <f t="shared" si="149"/>
        <v>37</v>
      </c>
      <c r="K84" s="11">
        <f t="shared" si="149"/>
        <v>24</v>
      </c>
      <c r="L84" s="11">
        <f t="shared" si="149"/>
        <v>47</v>
      </c>
      <c r="M84" s="11">
        <f t="shared" si="150"/>
        <v>12</v>
      </c>
      <c r="N84" s="11">
        <f t="shared" si="151"/>
        <v>46</v>
      </c>
      <c r="O84" s="11">
        <f t="shared" si="151"/>
        <v>45</v>
      </c>
      <c r="P84" s="11">
        <f t="shared" si="151"/>
        <v>70</v>
      </c>
      <c r="Q84" s="11">
        <f t="shared" si="152"/>
        <v>57</v>
      </c>
      <c r="R84" s="11">
        <f t="shared" si="153"/>
        <v>41</v>
      </c>
      <c r="S84" s="11">
        <f t="shared" si="153"/>
        <v>49</v>
      </c>
      <c r="T84" s="11">
        <f t="shared" si="153"/>
        <v>-5</v>
      </c>
      <c r="U84" s="11">
        <f t="shared" si="154"/>
        <v>57</v>
      </c>
      <c r="V84" s="11">
        <f t="shared" si="155"/>
        <v>-108</v>
      </c>
      <c r="W84" s="11">
        <f t="shared" si="155"/>
        <v>24</v>
      </c>
      <c r="X84" s="11">
        <f t="shared" si="155"/>
        <v>-73</v>
      </c>
      <c r="Y84" s="11">
        <f t="shared" si="156"/>
        <v>52</v>
      </c>
      <c r="Z84" s="11">
        <f t="shared" si="157"/>
        <v>56</v>
      </c>
      <c r="AA84" s="11">
        <f t="shared" si="157"/>
        <v>39</v>
      </c>
      <c r="AB84" s="11">
        <f t="shared" si="157"/>
        <v>-185</v>
      </c>
      <c r="AC84" s="11">
        <f t="shared" si="158"/>
        <v>18</v>
      </c>
      <c r="AD84" s="11">
        <f t="shared" si="159"/>
        <v>61</v>
      </c>
      <c r="AE84" s="11">
        <f t="shared" si="159"/>
        <v>58</v>
      </c>
      <c r="AF84" s="11">
        <f t="shared" si="159"/>
        <v>27</v>
      </c>
      <c r="AG84" s="11">
        <f t="shared" si="160"/>
        <v>71</v>
      </c>
      <c r="AH84" s="11">
        <f t="shared" si="161"/>
        <v>61</v>
      </c>
      <c r="AI84" s="11">
        <f t="shared" si="161"/>
        <v>7</v>
      </c>
      <c r="AJ84" s="11">
        <f t="shared" si="161"/>
        <v>122</v>
      </c>
      <c r="AK84" s="11">
        <f t="shared" si="162"/>
        <v>64</v>
      </c>
      <c r="AL84" s="11">
        <f t="shared" si="163"/>
        <v>169</v>
      </c>
      <c r="AM84" s="11">
        <f t="shared" si="141"/>
        <v>108</v>
      </c>
      <c r="AN84" s="11">
        <f t="shared" si="142"/>
        <v>207</v>
      </c>
      <c r="AO84" s="11">
        <f t="shared" si="164"/>
        <v>162</v>
      </c>
      <c r="AP84" s="11">
        <f>+AP56-AO56</f>
        <v>181</v>
      </c>
      <c r="AQ84" s="11">
        <f t="shared" si="143"/>
        <v>227.75800000000004</v>
      </c>
      <c r="AR84" s="11">
        <f t="shared" si="143"/>
        <v>385.00900000000001</v>
      </c>
      <c r="AS84" s="11">
        <f t="shared" si="165"/>
        <v>802.93700000000001</v>
      </c>
      <c r="AT84" s="11">
        <f t="shared" si="166"/>
        <v>273.57299999999998</v>
      </c>
      <c r="AU84" s="11">
        <f t="shared" si="166"/>
        <v>318.50199999999995</v>
      </c>
      <c r="AV84" s="11">
        <f t="shared" si="166"/>
        <v>52.981999999999971</v>
      </c>
    </row>
    <row r="85" spans="2:48" ht="15" customHeight="1" x14ac:dyDescent="0.2">
      <c r="B85" s="26" t="s">
        <v>24</v>
      </c>
      <c r="C85" s="13">
        <v>44</v>
      </c>
      <c r="D85" s="13">
        <f t="shared" si="145"/>
        <v>-73</v>
      </c>
      <c r="E85" s="13">
        <f t="shared" si="146"/>
        <v>42</v>
      </c>
      <c r="F85" s="13">
        <f t="shared" si="147"/>
        <v>-39</v>
      </c>
      <c r="G85" s="13">
        <f t="shared" si="147"/>
        <v>24</v>
      </c>
      <c r="H85" s="13">
        <f t="shared" si="147"/>
        <v>15</v>
      </c>
      <c r="I85" s="13">
        <f t="shared" si="148"/>
        <v>68</v>
      </c>
      <c r="J85" s="13">
        <f t="shared" si="149"/>
        <v>27</v>
      </c>
      <c r="K85" s="13">
        <f t="shared" si="149"/>
        <v>22</v>
      </c>
      <c r="L85" s="13">
        <f t="shared" si="149"/>
        <v>30</v>
      </c>
      <c r="M85" s="13">
        <f t="shared" si="150"/>
        <v>82</v>
      </c>
      <c r="N85" s="13">
        <f t="shared" si="151"/>
        <v>51</v>
      </c>
      <c r="O85" s="13">
        <f t="shared" si="151"/>
        <v>47</v>
      </c>
      <c r="P85" s="13">
        <f t="shared" si="151"/>
        <v>11</v>
      </c>
      <c r="Q85" s="13">
        <f t="shared" si="152"/>
        <v>41</v>
      </c>
      <c r="R85" s="13">
        <f t="shared" si="153"/>
        <v>50</v>
      </c>
      <c r="S85" s="13">
        <f t="shared" si="153"/>
        <v>16</v>
      </c>
      <c r="T85" s="13">
        <f t="shared" si="153"/>
        <v>30</v>
      </c>
      <c r="U85" s="13">
        <f t="shared" si="154"/>
        <v>63</v>
      </c>
      <c r="V85" s="13">
        <f t="shared" si="155"/>
        <v>11</v>
      </c>
      <c r="W85" s="13">
        <f t="shared" si="155"/>
        <v>16</v>
      </c>
      <c r="X85" s="13">
        <f t="shared" si="155"/>
        <v>27</v>
      </c>
      <c r="Y85" s="13">
        <f t="shared" si="156"/>
        <v>118</v>
      </c>
      <c r="Z85" s="13">
        <f t="shared" si="157"/>
        <v>29</v>
      </c>
      <c r="AA85" s="13">
        <f t="shared" si="157"/>
        <v>49</v>
      </c>
      <c r="AB85" s="13">
        <f t="shared" si="157"/>
        <v>52</v>
      </c>
      <c r="AC85" s="13">
        <f t="shared" si="158"/>
        <v>60</v>
      </c>
      <c r="AD85" s="13">
        <f t="shared" si="159"/>
        <v>27</v>
      </c>
      <c r="AE85" s="13">
        <f t="shared" si="159"/>
        <v>34</v>
      </c>
      <c r="AF85" s="13">
        <f t="shared" si="159"/>
        <v>24</v>
      </c>
      <c r="AG85" s="13">
        <f t="shared" si="160"/>
        <v>121</v>
      </c>
      <c r="AH85" s="13">
        <f t="shared" si="161"/>
        <v>59</v>
      </c>
      <c r="AI85" s="13">
        <f t="shared" si="161"/>
        <v>45</v>
      </c>
      <c r="AJ85" s="13">
        <f t="shared" si="161"/>
        <v>65</v>
      </c>
      <c r="AK85" s="13">
        <f t="shared" si="162"/>
        <v>161</v>
      </c>
      <c r="AL85" s="13">
        <f t="shared" si="163"/>
        <v>85</v>
      </c>
      <c r="AM85" s="13">
        <f t="shared" si="141"/>
        <v>99</v>
      </c>
      <c r="AN85" s="13">
        <f t="shared" si="142"/>
        <v>123</v>
      </c>
      <c r="AO85" s="13">
        <f t="shared" si="164"/>
        <v>136</v>
      </c>
      <c r="AP85" s="13">
        <f t="shared" si="142"/>
        <v>128.71899999999999</v>
      </c>
      <c r="AQ85" s="13">
        <f t="shared" si="142"/>
        <v>163.69499999999999</v>
      </c>
      <c r="AR85" s="13">
        <f>+AR57-AQ57</f>
        <v>160.851</v>
      </c>
      <c r="AS85" s="13">
        <f t="shared" si="165"/>
        <v>161.78</v>
      </c>
      <c r="AT85" s="13">
        <f t="shared" ref="AT85:AV87" si="167">+AT57-AS57</f>
        <v>204.256</v>
      </c>
      <c r="AU85" s="13">
        <f t="shared" si="167"/>
        <v>92.829999999999984</v>
      </c>
      <c r="AV85" s="13">
        <f t="shared" si="167"/>
        <v>95.066000000000031</v>
      </c>
    </row>
    <row r="86" spans="2:48" ht="15" customHeight="1" x14ac:dyDescent="0.2">
      <c r="B86" s="58" t="s">
        <v>163</v>
      </c>
      <c r="C86" s="15">
        <v>39</v>
      </c>
      <c r="D86" s="15">
        <f t="shared" si="145"/>
        <v>-79</v>
      </c>
      <c r="E86" s="15">
        <f t="shared" si="146"/>
        <v>37</v>
      </c>
      <c r="F86" s="15">
        <f t="shared" si="147"/>
        <v>-46</v>
      </c>
      <c r="G86" s="15">
        <f t="shared" si="147"/>
        <v>16</v>
      </c>
      <c r="H86" s="15">
        <f t="shared" si="147"/>
        <v>8</v>
      </c>
      <c r="I86" s="15">
        <f t="shared" si="148"/>
        <v>61</v>
      </c>
      <c r="J86" s="15">
        <f t="shared" si="149"/>
        <v>18</v>
      </c>
      <c r="K86" s="15">
        <f t="shared" si="149"/>
        <v>14</v>
      </c>
      <c r="L86" s="15">
        <f t="shared" si="149"/>
        <v>23</v>
      </c>
      <c r="M86" s="15">
        <f t="shared" si="150"/>
        <v>75</v>
      </c>
      <c r="N86" s="15">
        <f t="shared" si="151"/>
        <v>44</v>
      </c>
      <c r="O86" s="15">
        <f t="shared" si="151"/>
        <v>41</v>
      </c>
      <c r="P86" s="15">
        <f t="shared" si="151"/>
        <v>6</v>
      </c>
      <c r="Q86" s="15">
        <f t="shared" si="152"/>
        <v>36</v>
      </c>
      <c r="R86" s="15">
        <f t="shared" si="153"/>
        <v>43</v>
      </c>
      <c r="S86" s="15">
        <f t="shared" si="153"/>
        <v>9</v>
      </c>
      <c r="T86" s="15">
        <f t="shared" si="153"/>
        <v>22</v>
      </c>
      <c r="U86" s="15">
        <f t="shared" si="154"/>
        <v>56</v>
      </c>
      <c r="V86" s="15">
        <f t="shared" si="155"/>
        <v>4</v>
      </c>
      <c r="W86" s="15">
        <f t="shared" si="155"/>
        <v>7</v>
      </c>
      <c r="X86" s="15">
        <f t="shared" si="155"/>
        <v>20</v>
      </c>
      <c r="Y86" s="15">
        <f t="shared" si="156"/>
        <v>106</v>
      </c>
      <c r="Z86" s="15">
        <f t="shared" si="157"/>
        <v>24</v>
      </c>
      <c r="AA86" s="15">
        <f t="shared" si="157"/>
        <v>39</v>
      </c>
      <c r="AB86" s="15">
        <f t="shared" si="157"/>
        <v>37</v>
      </c>
      <c r="AC86" s="15">
        <f t="shared" si="158"/>
        <v>45</v>
      </c>
      <c r="AD86" s="15">
        <f t="shared" si="159"/>
        <v>13</v>
      </c>
      <c r="AE86" s="15">
        <f t="shared" si="159"/>
        <v>14</v>
      </c>
      <c r="AF86" s="15">
        <f t="shared" si="159"/>
        <v>1</v>
      </c>
      <c r="AG86" s="15">
        <f t="shared" si="160"/>
        <v>98</v>
      </c>
      <c r="AH86" s="15">
        <f t="shared" si="161"/>
        <v>39</v>
      </c>
      <c r="AI86" s="15">
        <f t="shared" si="161"/>
        <v>24</v>
      </c>
      <c r="AJ86" s="15">
        <f t="shared" si="161"/>
        <v>45</v>
      </c>
      <c r="AK86" s="15">
        <f t="shared" si="162"/>
        <v>134</v>
      </c>
      <c r="AL86" s="15">
        <f t="shared" si="163"/>
        <v>59</v>
      </c>
      <c r="AM86" s="15">
        <f t="shared" si="141"/>
        <v>73</v>
      </c>
      <c r="AN86" s="15">
        <f t="shared" si="142"/>
        <v>82</v>
      </c>
      <c r="AO86" s="15">
        <f t="shared" si="164"/>
        <v>115</v>
      </c>
      <c r="AP86" s="15">
        <f t="shared" ref="AP86:AR89" si="168">+AP58-AO58</f>
        <v>97</v>
      </c>
      <c r="AQ86" s="15">
        <f t="shared" si="168"/>
        <v>140</v>
      </c>
      <c r="AR86" s="15">
        <f t="shared" si="168"/>
        <v>144</v>
      </c>
      <c r="AS86" s="15">
        <f t="shared" si="165"/>
        <v>156</v>
      </c>
      <c r="AT86" s="15">
        <f t="shared" si="167"/>
        <v>165</v>
      </c>
      <c r="AU86" s="15">
        <f t="shared" si="167"/>
        <v>85</v>
      </c>
      <c r="AV86" s="15">
        <f>+AV62-AU58</f>
        <v>-486.87799999999999</v>
      </c>
    </row>
    <row r="87" spans="2:48" ht="15" customHeight="1" x14ac:dyDescent="0.2">
      <c r="B87" s="58" t="s">
        <v>7</v>
      </c>
      <c r="C87" s="15">
        <v>5</v>
      </c>
      <c r="D87" s="15">
        <f t="shared" si="145"/>
        <v>5</v>
      </c>
      <c r="E87" s="15">
        <f t="shared" si="146"/>
        <v>5</v>
      </c>
      <c r="F87" s="15">
        <f t="shared" si="147"/>
        <v>7</v>
      </c>
      <c r="G87" s="15">
        <f t="shared" si="147"/>
        <v>8</v>
      </c>
      <c r="H87" s="15">
        <f t="shared" si="147"/>
        <v>7</v>
      </c>
      <c r="I87" s="15">
        <f t="shared" si="148"/>
        <v>7</v>
      </c>
      <c r="J87" s="15">
        <f t="shared" si="149"/>
        <v>9</v>
      </c>
      <c r="K87" s="15">
        <f t="shared" si="149"/>
        <v>8</v>
      </c>
      <c r="L87" s="15">
        <f t="shared" si="149"/>
        <v>7</v>
      </c>
      <c r="M87" s="15">
        <f t="shared" si="150"/>
        <v>7</v>
      </c>
      <c r="N87" s="15">
        <f t="shared" si="151"/>
        <v>7</v>
      </c>
      <c r="O87" s="15">
        <f t="shared" si="151"/>
        <v>6</v>
      </c>
      <c r="P87" s="15">
        <f t="shared" si="151"/>
        <v>5</v>
      </c>
      <c r="Q87" s="15">
        <f t="shared" si="152"/>
        <v>5</v>
      </c>
      <c r="R87" s="15">
        <f t="shared" si="153"/>
        <v>7</v>
      </c>
      <c r="S87" s="15">
        <f t="shared" si="153"/>
        <v>7</v>
      </c>
      <c r="T87" s="15">
        <f t="shared" si="153"/>
        <v>8</v>
      </c>
      <c r="U87" s="15">
        <f t="shared" si="154"/>
        <v>7</v>
      </c>
      <c r="V87" s="15">
        <f t="shared" si="155"/>
        <v>7</v>
      </c>
      <c r="W87" s="15">
        <f t="shared" si="155"/>
        <v>9</v>
      </c>
      <c r="X87" s="15">
        <f t="shared" si="155"/>
        <v>7</v>
      </c>
      <c r="Y87" s="15">
        <f t="shared" si="156"/>
        <v>12</v>
      </c>
      <c r="Z87" s="15">
        <f t="shared" si="157"/>
        <v>5</v>
      </c>
      <c r="AA87" s="15">
        <f t="shared" si="157"/>
        <v>10</v>
      </c>
      <c r="AB87" s="15">
        <f t="shared" si="157"/>
        <v>15</v>
      </c>
      <c r="AC87" s="15">
        <f t="shared" si="158"/>
        <v>15</v>
      </c>
      <c r="AD87" s="15">
        <f t="shared" si="159"/>
        <v>14</v>
      </c>
      <c r="AE87" s="15">
        <f t="shared" si="159"/>
        <v>20</v>
      </c>
      <c r="AF87" s="15">
        <f t="shared" si="159"/>
        <v>23</v>
      </c>
      <c r="AG87" s="15">
        <f t="shared" si="160"/>
        <v>23</v>
      </c>
      <c r="AH87" s="15">
        <f t="shared" si="161"/>
        <v>20</v>
      </c>
      <c r="AI87" s="15">
        <f t="shared" si="161"/>
        <v>20</v>
      </c>
      <c r="AJ87" s="15">
        <f t="shared" si="161"/>
        <v>20</v>
      </c>
      <c r="AK87" s="15">
        <f t="shared" si="162"/>
        <v>26</v>
      </c>
      <c r="AL87" s="15">
        <f t="shared" si="163"/>
        <v>27</v>
      </c>
      <c r="AM87" s="15">
        <f t="shared" si="141"/>
        <v>33</v>
      </c>
      <c r="AN87" s="15">
        <f t="shared" si="142"/>
        <v>34</v>
      </c>
      <c r="AO87" s="15">
        <f t="shared" si="164"/>
        <v>21</v>
      </c>
      <c r="AP87" s="15">
        <f t="shared" si="168"/>
        <v>24</v>
      </c>
      <c r="AQ87" s="15">
        <f t="shared" si="168"/>
        <v>22</v>
      </c>
      <c r="AR87" s="15">
        <f t="shared" si="168"/>
        <v>26</v>
      </c>
      <c r="AS87" s="15">
        <f t="shared" si="165"/>
        <v>11</v>
      </c>
      <c r="AT87" s="15">
        <f t="shared" si="167"/>
        <v>28</v>
      </c>
      <c r="AU87" s="15">
        <f t="shared" si="167"/>
        <v>15</v>
      </c>
      <c r="AV87" s="15">
        <f t="shared" si="167"/>
        <v>36</v>
      </c>
    </row>
    <row r="88" spans="2:48" ht="15" customHeight="1" x14ac:dyDescent="0.2">
      <c r="B88" s="58" t="s">
        <v>185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41"/>
        <v>1</v>
      </c>
      <c r="AN88" s="15">
        <f t="shared" si="142"/>
        <v>-1</v>
      </c>
      <c r="AO88" s="15">
        <f t="shared" si="164"/>
        <v>-1</v>
      </c>
      <c r="AP88" s="15">
        <f t="shared" si="168"/>
        <v>12</v>
      </c>
      <c r="AQ88" s="15">
        <f t="shared" ref="AQ88:AV88" si="169">+AQ60-AP60</f>
        <v>-1</v>
      </c>
      <c r="AR88" s="15">
        <f t="shared" si="169"/>
        <v>-10</v>
      </c>
      <c r="AS88" s="15">
        <f t="shared" si="169"/>
        <v>-5</v>
      </c>
      <c r="AT88" s="15">
        <f t="shared" si="169"/>
        <v>11</v>
      </c>
      <c r="AU88" s="15">
        <f t="shared" si="169"/>
        <v>-7</v>
      </c>
      <c r="AV88" s="15">
        <f t="shared" si="169"/>
        <v>-10</v>
      </c>
    </row>
    <row r="89" spans="2:48" ht="15" customHeight="1" x14ac:dyDescent="0.2">
      <c r="B89" s="26" t="s">
        <v>149</v>
      </c>
      <c r="C89" s="13">
        <v>-1</v>
      </c>
      <c r="D89" s="13">
        <f t="shared" ref="D89:D95" si="170">+D61-C61</f>
        <v>0</v>
      </c>
      <c r="E89" s="13">
        <f t="shared" ref="E89:E95" si="171">+E61</f>
        <v>0</v>
      </c>
      <c r="F89" s="13">
        <f t="shared" ref="F89:H95" si="172">+F61-E61</f>
        <v>8</v>
      </c>
      <c r="G89" s="13">
        <f t="shared" si="172"/>
        <v>1</v>
      </c>
      <c r="H89" s="13">
        <f t="shared" si="172"/>
        <v>1</v>
      </c>
      <c r="I89" s="13">
        <f t="shared" ref="I89:I95" si="173">+I61</f>
        <v>1</v>
      </c>
      <c r="J89" s="13">
        <f t="shared" ref="J89:L95" si="174">+J61-I61</f>
        <v>1</v>
      </c>
      <c r="K89" s="13">
        <f t="shared" si="174"/>
        <v>0</v>
      </c>
      <c r="L89" s="13">
        <f t="shared" si="174"/>
        <v>0</v>
      </c>
      <c r="M89" s="13">
        <f t="shared" ref="M89:M95" si="175">+M61</f>
        <v>1</v>
      </c>
      <c r="N89" s="13">
        <f t="shared" ref="N89:P95" si="176">+N61-M61</f>
        <v>-1</v>
      </c>
      <c r="O89" s="13">
        <f t="shared" si="176"/>
        <v>1</v>
      </c>
      <c r="P89" s="13">
        <f t="shared" si="176"/>
        <v>1</v>
      </c>
      <c r="Q89" s="13">
        <f t="shared" ref="Q89:Q95" si="177">+Q61</f>
        <v>0</v>
      </c>
      <c r="R89" s="13">
        <f t="shared" ref="R89:T95" si="178">+R61-Q61</f>
        <v>-1</v>
      </c>
      <c r="S89" s="13">
        <f t="shared" si="178"/>
        <v>2</v>
      </c>
      <c r="T89" s="13">
        <f t="shared" si="178"/>
        <v>-1</v>
      </c>
      <c r="U89" s="13">
        <f t="shared" ref="U89:U95" si="179">+U61</f>
        <v>0</v>
      </c>
      <c r="V89" s="13">
        <f t="shared" ref="V89:X95" si="180">+V61-U61</f>
        <v>0</v>
      </c>
      <c r="W89" s="13">
        <f t="shared" si="180"/>
        <v>0</v>
      </c>
      <c r="X89" s="13">
        <f t="shared" si="180"/>
        <v>0</v>
      </c>
      <c r="Y89" s="13">
        <f t="shared" ref="Y89:Y95" si="181">+Y61</f>
        <v>0</v>
      </c>
      <c r="Z89" s="13">
        <f t="shared" ref="Z89:AB95" si="182">+Z61-Y61</f>
        <v>-1</v>
      </c>
      <c r="AA89" s="13">
        <f t="shared" si="182"/>
        <v>-2</v>
      </c>
      <c r="AB89" s="13">
        <f t="shared" si="182"/>
        <v>-4</v>
      </c>
      <c r="AC89" s="13">
        <f t="shared" ref="AC89:AC95" si="183">+AC61</f>
        <v>-1</v>
      </c>
      <c r="AD89" s="13">
        <f t="shared" ref="AD89:AF95" si="184">+AD61-AC61</f>
        <v>-2</v>
      </c>
      <c r="AE89" s="13">
        <f t="shared" si="184"/>
        <v>-1</v>
      </c>
      <c r="AF89" s="13">
        <f t="shared" si="184"/>
        <v>-2</v>
      </c>
      <c r="AG89" s="13">
        <f t="shared" ref="AG89:AG95" si="185">+AG61</f>
        <v>-2</v>
      </c>
      <c r="AH89" s="13">
        <f t="shared" ref="AH89:AJ95" si="186">+AH61-AG61</f>
        <v>-4</v>
      </c>
      <c r="AI89" s="13">
        <f t="shared" si="186"/>
        <v>-2</v>
      </c>
      <c r="AJ89" s="13">
        <f t="shared" si="186"/>
        <v>-3</v>
      </c>
      <c r="AK89" s="13">
        <f t="shared" ref="AK89:AK95" si="187">+AK61</f>
        <v>1</v>
      </c>
      <c r="AL89" s="13">
        <f t="shared" ref="AL89:AL95" si="188">+AL61-AK61</f>
        <v>13</v>
      </c>
      <c r="AM89" s="13">
        <f t="shared" si="141"/>
        <v>-7</v>
      </c>
      <c r="AN89" s="13">
        <f t="shared" si="142"/>
        <v>-3</v>
      </c>
      <c r="AO89" s="13">
        <f t="shared" ref="AO89:AO96" si="189">+AO61</f>
        <v>0.6</v>
      </c>
      <c r="AP89" s="13">
        <f t="shared" si="168"/>
        <v>-2.6</v>
      </c>
      <c r="AQ89" s="13">
        <f t="shared" ref="AQ89" si="190">+AQ61-AP61</f>
        <v>3.5529999999999999</v>
      </c>
      <c r="AR89" s="13">
        <f t="shared" ref="AR89" si="191">+AR61-AQ61</f>
        <v>-4.5529999999999999</v>
      </c>
      <c r="AS89" s="13">
        <f t="shared" ref="AS89:AS96" si="192">+AS61</f>
        <v>4.4989999999999997</v>
      </c>
      <c r="AT89" s="13">
        <f t="shared" ref="AT89:AV96" si="193">+AT61-AS61</f>
        <v>-0.32299999999999951</v>
      </c>
      <c r="AU89" s="13">
        <f t="shared" si="193"/>
        <v>5.9550000000000001</v>
      </c>
      <c r="AV89" s="93"/>
    </row>
    <row r="90" spans="2:48" ht="15" customHeight="1" x14ac:dyDescent="0.2">
      <c r="B90" s="26" t="s">
        <v>148</v>
      </c>
      <c r="C90" s="19">
        <v>1</v>
      </c>
      <c r="D90" s="19">
        <f t="shared" si="170"/>
        <v>-3</v>
      </c>
      <c r="E90" s="19">
        <f t="shared" si="171"/>
        <v>0</v>
      </c>
      <c r="F90" s="19">
        <f t="shared" si="172"/>
        <v>2</v>
      </c>
      <c r="G90" s="19">
        <f t="shared" si="172"/>
        <v>0</v>
      </c>
      <c r="H90" s="19">
        <f t="shared" si="172"/>
        <v>-1</v>
      </c>
      <c r="I90" s="19">
        <f t="shared" si="173"/>
        <v>1</v>
      </c>
      <c r="J90" s="19">
        <f t="shared" si="174"/>
        <v>2</v>
      </c>
      <c r="K90" s="19">
        <f t="shared" si="174"/>
        <v>0</v>
      </c>
      <c r="L90" s="19">
        <f t="shared" si="174"/>
        <v>0</v>
      </c>
      <c r="M90" s="19">
        <f t="shared" si="175"/>
        <v>-1</v>
      </c>
      <c r="N90" s="19">
        <f t="shared" si="176"/>
        <v>-2</v>
      </c>
      <c r="O90" s="19">
        <f t="shared" si="176"/>
        <v>0</v>
      </c>
      <c r="P90" s="19">
        <f t="shared" si="176"/>
        <v>-1</v>
      </c>
      <c r="Q90" s="19">
        <f t="shared" si="177"/>
        <v>0</v>
      </c>
      <c r="R90" s="19">
        <f t="shared" si="178"/>
        <v>5</v>
      </c>
      <c r="S90" s="19">
        <f t="shared" si="178"/>
        <v>2</v>
      </c>
      <c r="T90" s="19">
        <f t="shared" si="178"/>
        <v>-5</v>
      </c>
      <c r="U90" s="19">
        <f t="shared" si="179"/>
        <v>0</v>
      </c>
      <c r="V90" s="19">
        <f t="shared" si="180"/>
        <v>-2</v>
      </c>
      <c r="W90" s="19">
        <f t="shared" si="180"/>
        <v>-3</v>
      </c>
      <c r="X90" s="19">
        <f t="shared" si="180"/>
        <v>-3</v>
      </c>
      <c r="Y90" s="19">
        <f t="shared" si="181"/>
        <v>-1</v>
      </c>
      <c r="Z90" s="19">
        <f t="shared" si="182"/>
        <v>-2</v>
      </c>
      <c r="AA90" s="19">
        <f t="shared" si="182"/>
        <v>-2</v>
      </c>
      <c r="AB90" s="19">
        <f t="shared" si="182"/>
        <v>-10</v>
      </c>
      <c r="AC90" s="19">
        <f t="shared" si="183"/>
        <v>-4</v>
      </c>
      <c r="AD90" s="19">
        <f t="shared" si="184"/>
        <v>-2</v>
      </c>
      <c r="AE90" s="19">
        <f t="shared" si="184"/>
        <v>0</v>
      </c>
      <c r="AF90" s="19">
        <f t="shared" si="184"/>
        <v>-3</v>
      </c>
      <c r="AG90" s="19">
        <f t="shared" si="185"/>
        <v>-2</v>
      </c>
      <c r="AH90" s="19">
        <f t="shared" si="186"/>
        <v>-4</v>
      </c>
      <c r="AI90" s="19">
        <f t="shared" si="186"/>
        <v>-1</v>
      </c>
      <c r="AJ90" s="19">
        <f t="shared" si="186"/>
        <v>-5</v>
      </c>
      <c r="AK90" s="19">
        <f t="shared" si="187"/>
        <v>-3</v>
      </c>
      <c r="AL90" s="19">
        <f t="shared" si="188"/>
        <v>-4</v>
      </c>
      <c r="AM90" s="19">
        <f t="shared" si="141"/>
        <v>-3</v>
      </c>
      <c r="AN90" s="19">
        <f t="shared" si="142"/>
        <v>-6</v>
      </c>
      <c r="AO90" s="19">
        <f t="shared" si="189"/>
        <v>-3.2</v>
      </c>
      <c r="AP90" s="19">
        <f t="shared" ref="AP90" si="194">+AP62-AO62</f>
        <v>-8.8000000000000007</v>
      </c>
      <c r="AQ90" s="19">
        <f t="shared" ref="AQ90" si="195">+AQ62-AP62</f>
        <v>-6.7910000000000004</v>
      </c>
      <c r="AR90" s="19">
        <f t="shared" ref="AR90:AR98" si="196">+AR62-AQ62</f>
        <v>-25.209</v>
      </c>
      <c r="AS90" s="19">
        <f t="shared" si="192"/>
        <v>-26.58</v>
      </c>
      <c r="AT90" s="19">
        <f t="shared" si="193"/>
        <v>-22.783999999999999</v>
      </c>
      <c r="AU90" s="19">
        <f t="shared" si="193"/>
        <v>-15.454000000000001</v>
      </c>
      <c r="AV90" s="19">
        <f t="shared" si="193"/>
        <v>-16.060000000000002</v>
      </c>
    </row>
    <row r="91" spans="2:48" ht="15" customHeight="1" x14ac:dyDescent="0.2">
      <c r="B91" s="49" t="s">
        <v>134</v>
      </c>
      <c r="C91" s="50">
        <v>75</v>
      </c>
      <c r="D91" s="50">
        <f t="shared" si="170"/>
        <v>-64</v>
      </c>
      <c r="E91" s="50">
        <f t="shared" si="171"/>
        <v>93</v>
      </c>
      <c r="F91" s="50">
        <f t="shared" si="172"/>
        <v>-3</v>
      </c>
      <c r="G91" s="50">
        <f t="shared" si="172"/>
        <v>62</v>
      </c>
      <c r="H91" s="50">
        <f t="shared" si="172"/>
        <v>50</v>
      </c>
      <c r="I91" s="50">
        <f t="shared" si="173"/>
        <v>108</v>
      </c>
      <c r="J91" s="50">
        <f t="shared" si="174"/>
        <v>68</v>
      </c>
      <c r="K91" s="50">
        <f t="shared" si="174"/>
        <v>47</v>
      </c>
      <c r="L91" s="50">
        <f t="shared" si="174"/>
        <v>76</v>
      </c>
      <c r="M91" s="50">
        <f t="shared" si="175"/>
        <v>94</v>
      </c>
      <c r="N91" s="50">
        <f t="shared" si="176"/>
        <v>95</v>
      </c>
      <c r="O91" s="50">
        <f t="shared" si="176"/>
        <v>93</v>
      </c>
      <c r="P91" s="50">
        <f t="shared" si="176"/>
        <v>80</v>
      </c>
      <c r="Q91" s="50">
        <f t="shared" si="177"/>
        <v>97</v>
      </c>
      <c r="R91" s="50">
        <f t="shared" si="178"/>
        <v>97</v>
      </c>
      <c r="S91" s="50">
        <f t="shared" si="178"/>
        <v>68</v>
      </c>
      <c r="T91" s="50">
        <f t="shared" si="178"/>
        <v>19</v>
      </c>
      <c r="U91" s="50">
        <f t="shared" si="179"/>
        <v>121</v>
      </c>
      <c r="V91" s="50">
        <f t="shared" si="180"/>
        <v>-101</v>
      </c>
      <c r="W91" s="50">
        <f t="shared" si="180"/>
        <v>39</v>
      </c>
      <c r="X91" s="50">
        <f t="shared" si="180"/>
        <v>-49</v>
      </c>
      <c r="Y91" s="50">
        <f t="shared" si="181"/>
        <v>169</v>
      </c>
      <c r="Z91" s="50">
        <f t="shared" si="182"/>
        <v>82</v>
      </c>
      <c r="AA91" s="50">
        <f t="shared" si="182"/>
        <v>84</v>
      </c>
      <c r="AB91" s="50">
        <f t="shared" si="182"/>
        <v>-147</v>
      </c>
      <c r="AC91" s="50">
        <f t="shared" si="183"/>
        <v>74</v>
      </c>
      <c r="AD91" s="50">
        <f t="shared" si="184"/>
        <v>83</v>
      </c>
      <c r="AE91" s="50">
        <f t="shared" si="184"/>
        <v>90</v>
      </c>
      <c r="AF91" s="50">
        <f t="shared" si="184"/>
        <v>47</v>
      </c>
      <c r="AG91" s="50">
        <f t="shared" si="185"/>
        <v>187</v>
      </c>
      <c r="AH91" s="50">
        <f t="shared" si="186"/>
        <v>112</v>
      </c>
      <c r="AI91" s="50">
        <f t="shared" si="186"/>
        <v>50</v>
      </c>
      <c r="AJ91" s="50">
        <f t="shared" si="186"/>
        <v>180</v>
      </c>
      <c r="AK91" s="50">
        <f t="shared" si="187"/>
        <v>223</v>
      </c>
      <c r="AL91" s="50">
        <f t="shared" si="188"/>
        <v>262</v>
      </c>
      <c r="AM91" s="50">
        <f t="shared" si="141"/>
        <v>198</v>
      </c>
      <c r="AN91" s="50">
        <f t="shared" si="142"/>
        <v>322</v>
      </c>
      <c r="AO91" s="50">
        <f t="shared" si="189"/>
        <v>295.5</v>
      </c>
      <c r="AP91" s="50">
        <f t="shared" ref="AP91:AQ97" si="197">+AP63-AO63</f>
        <v>297.5</v>
      </c>
      <c r="AQ91" s="50">
        <f t="shared" si="197"/>
        <v>389</v>
      </c>
      <c r="AR91" s="50">
        <f t="shared" si="196"/>
        <v>519.1880000000001</v>
      </c>
      <c r="AS91" s="50">
        <f t="shared" si="192"/>
        <v>942.63599999999997</v>
      </c>
      <c r="AT91" s="50">
        <f t="shared" si="193"/>
        <v>454.72199999999998</v>
      </c>
      <c r="AU91" s="50">
        <f t="shared" si="193"/>
        <v>401.83300000000008</v>
      </c>
      <c r="AV91" s="50">
        <f t="shared" si="193"/>
        <v>121.85699999999997</v>
      </c>
    </row>
    <row r="92" spans="2:48" ht="15" customHeight="1" x14ac:dyDescent="0.2">
      <c r="B92" s="48" t="s">
        <v>11</v>
      </c>
      <c r="C92" s="13">
        <v>1</v>
      </c>
      <c r="D92" s="13">
        <f t="shared" si="170"/>
        <v>-20</v>
      </c>
      <c r="E92" s="13">
        <f t="shared" si="171"/>
        <v>7</v>
      </c>
      <c r="F92" s="13">
        <f t="shared" si="172"/>
        <v>0</v>
      </c>
      <c r="G92" s="13">
        <f t="shared" si="172"/>
        <v>23</v>
      </c>
      <c r="H92" s="13">
        <f t="shared" si="172"/>
        <v>-5</v>
      </c>
      <c r="I92" s="13">
        <f t="shared" si="173"/>
        <v>10</v>
      </c>
      <c r="J92" s="13">
        <f t="shared" si="174"/>
        <v>6</v>
      </c>
      <c r="K92" s="13">
        <f t="shared" si="174"/>
        <v>16</v>
      </c>
      <c r="L92" s="13">
        <f t="shared" si="174"/>
        <v>7</v>
      </c>
      <c r="M92" s="13">
        <f t="shared" si="175"/>
        <v>2</v>
      </c>
      <c r="N92" s="13">
        <f t="shared" si="176"/>
        <v>22</v>
      </c>
      <c r="O92" s="13">
        <f t="shared" si="176"/>
        <v>22</v>
      </c>
      <c r="P92" s="13">
        <f t="shared" si="176"/>
        <v>26</v>
      </c>
      <c r="Q92" s="13">
        <f t="shared" si="177"/>
        <v>37</v>
      </c>
      <c r="R92" s="13">
        <f t="shared" si="178"/>
        <v>9</v>
      </c>
      <c r="S92" s="13">
        <f t="shared" si="178"/>
        <v>28</v>
      </c>
      <c r="T92" s="13">
        <f t="shared" si="178"/>
        <v>-50</v>
      </c>
      <c r="U92" s="13">
        <f t="shared" si="179"/>
        <v>32</v>
      </c>
      <c r="V92" s="13">
        <f t="shared" si="180"/>
        <v>-136</v>
      </c>
      <c r="W92" s="13">
        <f t="shared" si="180"/>
        <v>-11</v>
      </c>
      <c r="X92" s="13">
        <f t="shared" si="180"/>
        <v>-102</v>
      </c>
      <c r="Y92" s="13">
        <f t="shared" si="181"/>
        <v>24</v>
      </c>
      <c r="Z92" s="13">
        <f t="shared" si="182"/>
        <v>18</v>
      </c>
      <c r="AA92" s="13">
        <f t="shared" si="182"/>
        <v>22</v>
      </c>
      <c r="AB92" s="13">
        <f t="shared" si="182"/>
        <v>-261</v>
      </c>
      <c r="AC92" s="13">
        <f t="shared" si="183"/>
        <v>14</v>
      </c>
      <c r="AD92" s="13">
        <f t="shared" si="184"/>
        <v>3</v>
      </c>
      <c r="AE92" s="13">
        <f t="shared" si="184"/>
        <v>15</v>
      </c>
      <c r="AF92" s="13">
        <f t="shared" si="184"/>
        <v>10</v>
      </c>
      <c r="AG92" s="13">
        <f t="shared" si="185"/>
        <v>34</v>
      </c>
      <c r="AH92" s="13">
        <f t="shared" si="186"/>
        <v>16</v>
      </c>
      <c r="AI92" s="13">
        <f t="shared" si="186"/>
        <v>-36.591000000000001</v>
      </c>
      <c r="AJ92" s="13">
        <f t="shared" si="186"/>
        <v>67.590999999999994</v>
      </c>
      <c r="AK92" s="13">
        <f t="shared" si="187"/>
        <v>29</v>
      </c>
      <c r="AL92" s="13">
        <f t="shared" si="188"/>
        <v>131</v>
      </c>
      <c r="AM92" s="13">
        <f t="shared" si="141"/>
        <v>62.769000000000005</v>
      </c>
      <c r="AN92" s="13">
        <f t="shared" ref="AN92:AN99" si="198">+AN64-AM64</f>
        <v>167.81700000000001</v>
      </c>
      <c r="AO92" s="13">
        <f t="shared" si="189"/>
        <v>130.1</v>
      </c>
      <c r="AP92" s="13">
        <f t="shared" si="197"/>
        <v>148.91100000000003</v>
      </c>
      <c r="AQ92" s="13">
        <f t="shared" si="197"/>
        <v>193.10199999999998</v>
      </c>
      <c r="AR92" s="13">
        <f t="shared" si="196"/>
        <v>243.73999999999995</v>
      </c>
      <c r="AS92" s="13">
        <f t="shared" si="192"/>
        <v>624.78300000000002</v>
      </c>
      <c r="AT92" s="13">
        <f t="shared" si="193"/>
        <v>234.74199999999996</v>
      </c>
      <c r="AU92" s="13">
        <f t="shared" si="193"/>
        <v>202.52800000000013</v>
      </c>
      <c r="AV92" s="13">
        <f t="shared" si="193"/>
        <v>-77.678000000000111</v>
      </c>
    </row>
    <row r="93" spans="2:48" ht="15" customHeight="1" x14ac:dyDescent="0.2">
      <c r="B93" s="26" t="s">
        <v>24</v>
      </c>
      <c r="C93" s="13">
        <v>38</v>
      </c>
      <c r="D93" s="13">
        <f t="shared" si="170"/>
        <v>-99</v>
      </c>
      <c r="E93" s="13">
        <f t="shared" si="171"/>
        <v>9</v>
      </c>
      <c r="F93" s="13">
        <f t="shared" si="172"/>
        <v>-19</v>
      </c>
      <c r="G93" s="13">
        <f t="shared" si="172"/>
        <v>14</v>
      </c>
      <c r="H93" s="13">
        <f t="shared" si="172"/>
        <v>9</v>
      </c>
      <c r="I93" s="13">
        <f t="shared" si="173"/>
        <v>54</v>
      </c>
      <c r="J93" s="13">
        <f t="shared" si="174"/>
        <v>21</v>
      </c>
      <c r="K93" s="13">
        <f t="shared" si="174"/>
        <v>18</v>
      </c>
      <c r="L93" s="13">
        <f t="shared" si="174"/>
        <v>23</v>
      </c>
      <c r="M93" s="13">
        <f t="shared" si="175"/>
        <v>70</v>
      </c>
      <c r="N93" s="13">
        <f t="shared" si="176"/>
        <v>39</v>
      </c>
      <c r="O93" s="13">
        <f t="shared" si="176"/>
        <v>20</v>
      </c>
      <c r="P93" s="13">
        <f t="shared" si="176"/>
        <v>8</v>
      </c>
      <c r="Q93" s="13">
        <f t="shared" si="177"/>
        <v>44</v>
      </c>
      <c r="R93" s="13">
        <f t="shared" si="178"/>
        <v>37</v>
      </c>
      <c r="S93" s="13">
        <f t="shared" si="178"/>
        <v>11</v>
      </c>
      <c r="T93" s="13">
        <f t="shared" si="178"/>
        <v>24</v>
      </c>
      <c r="U93" s="13">
        <f t="shared" si="179"/>
        <v>52</v>
      </c>
      <c r="V93" s="13">
        <f t="shared" si="180"/>
        <v>-19</v>
      </c>
      <c r="W93" s="13">
        <f t="shared" si="180"/>
        <v>0</v>
      </c>
      <c r="X93" s="13">
        <f t="shared" si="180"/>
        <v>30</v>
      </c>
      <c r="Y93" s="13">
        <f t="shared" si="181"/>
        <v>101</v>
      </c>
      <c r="Z93" s="13">
        <f t="shared" si="182"/>
        <v>14</v>
      </c>
      <c r="AA93" s="13">
        <f t="shared" si="182"/>
        <v>35</v>
      </c>
      <c r="AB93" s="13">
        <f t="shared" si="182"/>
        <v>68</v>
      </c>
      <c r="AC93" s="13">
        <f t="shared" si="183"/>
        <v>49</v>
      </c>
      <c r="AD93" s="13">
        <f t="shared" si="184"/>
        <v>15</v>
      </c>
      <c r="AE93" s="13">
        <f t="shared" si="184"/>
        <v>-20</v>
      </c>
      <c r="AF93" s="13">
        <f t="shared" si="184"/>
        <v>31</v>
      </c>
      <c r="AG93" s="13">
        <f t="shared" si="185"/>
        <v>112</v>
      </c>
      <c r="AH93" s="13">
        <f t="shared" si="186"/>
        <v>52</v>
      </c>
      <c r="AI93" s="13">
        <f t="shared" si="186"/>
        <v>9.1750000000000114</v>
      </c>
      <c r="AJ93" s="13">
        <f t="shared" si="186"/>
        <v>-33.175000000000011</v>
      </c>
      <c r="AK93" s="13">
        <f t="shared" si="187"/>
        <v>115</v>
      </c>
      <c r="AL93" s="13">
        <f t="shared" si="188"/>
        <v>93</v>
      </c>
      <c r="AM93" s="13">
        <f t="shared" si="141"/>
        <v>70.238</v>
      </c>
      <c r="AN93" s="13">
        <f t="shared" si="198"/>
        <v>68.413999999999987</v>
      </c>
      <c r="AO93" s="13">
        <f t="shared" si="189"/>
        <v>88</v>
      </c>
      <c r="AP93" s="13">
        <f t="shared" si="197"/>
        <v>71.66</v>
      </c>
      <c r="AQ93" s="13">
        <f>+AQ65-AP65</f>
        <v>46</v>
      </c>
      <c r="AR93" s="13">
        <f t="shared" si="196"/>
        <v>258.35199999999998</v>
      </c>
      <c r="AS93" s="13">
        <f t="shared" si="192"/>
        <v>116.627</v>
      </c>
      <c r="AT93" s="13">
        <f t="shared" si="193"/>
        <v>155.07999999999998</v>
      </c>
      <c r="AU93" s="13">
        <f t="shared" si="193"/>
        <v>62.620999999999981</v>
      </c>
      <c r="AV93" s="13">
        <f t="shared" si="193"/>
        <v>51.173000000000002</v>
      </c>
    </row>
    <row r="94" spans="2:48" ht="15" customHeight="1" x14ac:dyDescent="0.2">
      <c r="B94" s="58" t="s">
        <v>163</v>
      </c>
      <c r="C94" s="13">
        <v>35</v>
      </c>
      <c r="D94" s="13">
        <f t="shared" si="170"/>
        <v>-102</v>
      </c>
      <c r="E94" s="13">
        <f t="shared" si="171"/>
        <v>6</v>
      </c>
      <c r="F94" s="13">
        <f t="shared" si="172"/>
        <v>-24</v>
      </c>
      <c r="G94" s="13">
        <f t="shared" si="172"/>
        <v>9</v>
      </c>
      <c r="H94" s="13">
        <f t="shared" si="172"/>
        <v>4</v>
      </c>
      <c r="I94" s="13">
        <f t="shared" si="173"/>
        <v>49</v>
      </c>
      <c r="J94" s="13">
        <f t="shared" si="174"/>
        <v>15</v>
      </c>
      <c r="K94" s="13">
        <f t="shared" si="174"/>
        <v>12</v>
      </c>
      <c r="L94" s="13">
        <f t="shared" si="174"/>
        <v>19</v>
      </c>
      <c r="M94" s="13">
        <f t="shared" si="175"/>
        <v>65</v>
      </c>
      <c r="N94" s="13">
        <f t="shared" si="176"/>
        <v>35</v>
      </c>
      <c r="O94" s="13">
        <f t="shared" si="176"/>
        <v>15</v>
      </c>
      <c r="P94" s="13">
        <f t="shared" si="176"/>
        <v>5</v>
      </c>
      <c r="Q94" s="13">
        <f t="shared" si="177"/>
        <v>41</v>
      </c>
      <c r="R94" s="13">
        <f t="shared" si="178"/>
        <v>32</v>
      </c>
      <c r="S94" s="13">
        <f t="shared" si="178"/>
        <v>7</v>
      </c>
      <c r="T94" s="13">
        <f t="shared" si="178"/>
        <v>18</v>
      </c>
      <c r="U94" s="13">
        <f t="shared" si="179"/>
        <v>46</v>
      </c>
      <c r="V94" s="13">
        <f t="shared" si="180"/>
        <v>-23</v>
      </c>
      <c r="W94" s="13">
        <f t="shared" si="180"/>
        <v>-7</v>
      </c>
      <c r="X94" s="13">
        <f t="shared" si="180"/>
        <v>24</v>
      </c>
      <c r="Y94" s="13">
        <f t="shared" si="181"/>
        <v>92</v>
      </c>
      <c r="Z94" s="13">
        <f t="shared" si="182"/>
        <v>10</v>
      </c>
      <c r="AA94" s="13">
        <f t="shared" si="182"/>
        <v>28</v>
      </c>
      <c r="AB94" s="13">
        <f t="shared" si="182"/>
        <v>56</v>
      </c>
      <c r="AC94" s="13">
        <f t="shared" si="183"/>
        <v>37</v>
      </c>
      <c r="AD94" s="13">
        <f t="shared" si="184"/>
        <v>5</v>
      </c>
      <c r="AE94" s="13">
        <f t="shared" si="184"/>
        <v>-35</v>
      </c>
      <c r="AF94" s="13">
        <f t="shared" si="184"/>
        <v>14</v>
      </c>
      <c r="AG94" s="13">
        <f t="shared" si="185"/>
        <v>94</v>
      </c>
      <c r="AH94" s="13">
        <f t="shared" si="186"/>
        <v>36</v>
      </c>
      <c r="AI94" s="13">
        <f t="shared" si="186"/>
        <v>-5</v>
      </c>
      <c r="AJ94" s="13">
        <f t="shared" si="186"/>
        <v>-52</v>
      </c>
      <c r="AK94" s="13">
        <f t="shared" si="187"/>
        <v>95</v>
      </c>
      <c r="AL94" s="13">
        <f t="shared" si="188"/>
        <v>73</v>
      </c>
      <c r="AM94" s="13">
        <f t="shared" si="141"/>
        <v>49</v>
      </c>
      <c r="AN94" s="13">
        <f t="shared" si="198"/>
        <v>39</v>
      </c>
      <c r="AO94" s="13">
        <f t="shared" si="189"/>
        <v>72</v>
      </c>
      <c r="AP94" s="13">
        <f t="shared" si="197"/>
        <v>36</v>
      </c>
      <c r="AQ94" s="13">
        <f t="shared" si="197"/>
        <v>13</v>
      </c>
      <c r="AR94" s="13">
        <f t="shared" si="196"/>
        <v>263</v>
      </c>
      <c r="AS94" s="13">
        <f t="shared" si="192"/>
        <v>111</v>
      </c>
      <c r="AT94" s="13">
        <f t="shared" si="193"/>
        <v>125</v>
      </c>
      <c r="AU94" s="13">
        <f t="shared" si="193"/>
        <v>59</v>
      </c>
      <c r="AV94" s="13">
        <f t="shared" si="193"/>
        <v>36</v>
      </c>
    </row>
    <row r="95" spans="2:48" ht="15" customHeight="1" x14ac:dyDescent="0.2">
      <c r="B95" s="58" t="s">
        <v>7</v>
      </c>
      <c r="C95" s="13">
        <v>3</v>
      </c>
      <c r="D95" s="13">
        <f t="shared" si="170"/>
        <v>3</v>
      </c>
      <c r="E95" s="13">
        <f t="shared" si="171"/>
        <v>3</v>
      </c>
      <c r="F95" s="13">
        <f t="shared" si="172"/>
        <v>5</v>
      </c>
      <c r="G95" s="13">
        <f t="shared" si="172"/>
        <v>5</v>
      </c>
      <c r="H95" s="13">
        <f t="shared" si="172"/>
        <v>5</v>
      </c>
      <c r="I95" s="13">
        <f t="shared" si="173"/>
        <v>5</v>
      </c>
      <c r="J95" s="13">
        <f t="shared" si="174"/>
        <v>6</v>
      </c>
      <c r="K95" s="13">
        <f t="shared" si="174"/>
        <v>6</v>
      </c>
      <c r="L95" s="13">
        <f t="shared" si="174"/>
        <v>4</v>
      </c>
      <c r="M95" s="13">
        <f t="shared" si="175"/>
        <v>5</v>
      </c>
      <c r="N95" s="13">
        <f t="shared" si="176"/>
        <v>4</v>
      </c>
      <c r="O95" s="13">
        <f t="shared" si="176"/>
        <v>5</v>
      </c>
      <c r="P95" s="13">
        <f t="shared" si="176"/>
        <v>3</v>
      </c>
      <c r="Q95" s="13">
        <f t="shared" si="177"/>
        <v>3</v>
      </c>
      <c r="R95" s="13">
        <f t="shared" si="178"/>
        <v>5</v>
      </c>
      <c r="S95" s="13">
        <f t="shared" si="178"/>
        <v>4</v>
      </c>
      <c r="T95" s="13">
        <f t="shared" si="178"/>
        <v>6</v>
      </c>
      <c r="U95" s="13">
        <f t="shared" si="179"/>
        <v>6</v>
      </c>
      <c r="V95" s="13">
        <f t="shared" si="180"/>
        <v>4</v>
      </c>
      <c r="W95" s="13">
        <f t="shared" si="180"/>
        <v>7</v>
      </c>
      <c r="X95" s="13">
        <f t="shared" si="180"/>
        <v>6</v>
      </c>
      <c r="Y95" s="13">
        <f t="shared" si="181"/>
        <v>9</v>
      </c>
      <c r="Z95" s="13">
        <f t="shared" si="182"/>
        <v>4</v>
      </c>
      <c r="AA95" s="13">
        <f t="shared" si="182"/>
        <v>7</v>
      </c>
      <c r="AB95" s="13">
        <f t="shared" si="182"/>
        <v>12</v>
      </c>
      <c r="AC95" s="13">
        <f t="shared" si="183"/>
        <v>12</v>
      </c>
      <c r="AD95" s="13">
        <f t="shared" si="184"/>
        <v>10</v>
      </c>
      <c r="AE95" s="13">
        <f t="shared" si="184"/>
        <v>15</v>
      </c>
      <c r="AF95" s="13">
        <f t="shared" si="184"/>
        <v>17</v>
      </c>
      <c r="AG95" s="13">
        <f t="shared" si="185"/>
        <v>18</v>
      </c>
      <c r="AH95" s="13">
        <f t="shared" si="186"/>
        <v>16</v>
      </c>
      <c r="AI95" s="13">
        <f t="shared" si="186"/>
        <v>14</v>
      </c>
      <c r="AJ95" s="13">
        <f t="shared" si="186"/>
        <v>19</v>
      </c>
      <c r="AK95" s="13">
        <f t="shared" si="187"/>
        <v>20</v>
      </c>
      <c r="AL95" s="13">
        <f t="shared" si="188"/>
        <v>20</v>
      </c>
      <c r="AM95" s="13">
        <f t="shared" si="141"/>
        <v>27</v>
      </c>
      <c r="AN95" s="13">
        <f t="shared" si="198"/>
        <v>24</v>
      </c>
      <c r="AO95" s="13">
        <f t="shared" si="189"/>
        <v>16</v>
      </c>
      <c r="AP95" s="13">
        <f t="shared" si="197"/>
        <v>21</v>
      </c>
      <c r="AQ95" s="13">
        <f t="shared" si="197"/>
        <v>27</v>
      </c>
      <c r="AR95" s="13">
        <f t="shared" si="196"/>
        <v>18</v>
      </c>
      <c r="AS95" s="13">
        <f t="shared" si="192"/>
        <v>10</v>
      </c>
      <c r="AT95" s="13">
        <f t="shared" si="193"/>
        <v>21</v>
      </c>
      <c r="AU95" s="13">
        <f t="shared" si="193"/>
        <v>10</v>
      </c>
      <c r="AV95" s="13">
        <f t="shared" si="193"/>
        <v>27</v>
      </c>
    </row>
    <row r="96" spans="2:48" ht="15" customHeight="1" x14ac:dyDescent="0.2">
      <c r="B96" s="58" t="s">
        <v>185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41"/>
        <v>-1</v>
      </c>
      <c r="AN96" s="13">
        <f t="shared" si="198"/>
        <v>1</v>
      </c>
      <c r="AO96" s="13">
        <f t="shared" si="189"/>
        <v>-8</v>
      </c>
      <c r="AP96" s="13">
        <f t="shared" si="197"/>
        <v>23</v>
      </c>
      <c r="AQ96" s="13">
        <f>+AQ68-AP68</f>
        <v>6</v>
      </c>
      <c r="AR96" s="13">
        <f t="shared" si="196"/>
        <v>-23</v>
      </c>
      <c r="AS96" s="13">
        <f t="shared" si="192"/>
        <v>-4</v>
      </c>
      <c r="AT96" s="13">
        <f>+AT68-AS68</f>
        <v>11</v>
      </c>
      <c r="AU96" s="13">
        <f t="shared" si="193"/>
        <v>-8</v>
      </c>
      <c r="AV96" s="13">
        <f t="shared" si="193"/>
        <v>-13</v>
      </c>
    </row>
    <row r="97" spans="1:50" ht="15" customHeight="1" x14ac:dyDescent="0.2">
      <c r="B97" s="26" t="s">
        <v>149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9">+F69-E69</f>
        <v>7</v>
      </c>
      <c r="G97" s="13">
        <f t="shared" si="199"/>
        <v>1</v>
      </c>
      <c r="H97" s="13">
        <f t="shared" si="199"/>
        <v>1</v>
      </c>
      <c r="I97" s="13">
        <f>+I69</f>
        <v>0</v>
      </c>
      <c r="J97" s="13">
        <f t="shared" ref="J97:L99" si="200">+J69-I69</f>
        <v>1</v>
      </c>
      <c r="K97" s="13">
        <f t="shared" si="200"/>
        <v>1</v>
      </c>
      <c r="L97" s="13">
        <f t="shared" si="200"/>
        <v>1</v>
      </c>
      <c r="M97" s="13">
        <f>+M69</f>
        <v>1</v>
      </c>
      <c r="N97" s="13">
        <f t="shared" ref="N97:P99" si="201">+N69-M69</f>
        <v>1</v>
      </c>
      <c r="O97" s="13">
        <f t="shared" si="201"/>
        <v>3</v>
      </c>
      <c r="P97" s="13">
        <f t="shared" si="201"/>
        <v>2</v>
      </c>
      <c r="Q97" s="13">
        <f>+Q69</f>
        <v>0</v>
      </c>
      <c r="R97" s="13">
        <f t="shared" ref="R97:T99" si="202">+R69-Q69</f>
        <v>0</v>
      </c>
      <c r="S97" s="13">
        <f t="shared" si="202"/>
        <v>2</v>
      </c>
      <c r="T97" s="13">
        <f t="shared" si="202"/>
        <v>0</v>
      </c>
      <c r="U97" s="13">
        <f>+U69</f>
        <v>1</v>
      </c>
      <c r="V97" s="13">
        <f t="shared" ref="V97:X99" si="203">+V69-U69</f>
        <v>-2</v>
      </c>
      <c r="W97" s="13">
        <f t="shared" si="203"/>
        <v>0</v>
      </c>
      <c r="X97" s="13">
        <f t="shared" si="203"/>
        <v>0</v>
      </c>
      <c r="Y97" s="13">
        <f>+Y69</f>
        <v>0</v>
      </c>
      <c r="Z97" s="13">
        <f t="shared" ref="Z97:AB99" si="204">+Z69-Y69</f>
        <v>0</v>
      </c>
      <c r="AA97" s="13">
        <f t="shared" si="204"/>
        <v>-2</v>
      </c>
      <c r="AB97" s="13">
        <f t="shared" si="204"/>
        <v>-2</v>
      </c>
      <c r="AC97" s="13">
        <f>+AC69</f>
        <v>0</v>
      </c>
      <c r="AD97" s="13">
        <f t="shared" ref="AD97:AF99" si="205">+AD69-AC69</f>
        <v>-1</v>
      </c>
      <c r="AE97" s="13">
        <f t="shared" si="205"/>
        <v>0</v>
      </c>
      <c r="AF97" s="13">
        <f t="shared" si="205"/>
        <v>-1</v>
      </c>
      <c r="AG97" s="13">
        <f>+AG69</f>
        <v>-2</v>
      </c>
      <c r="AH97" s="13">
        <f t="shared" ref="AH97:AJ99" si="206">+AH69-AG69</f>
        <v>-4</v>
      </c>
      <c r="AI97" s="13">
        <f t="shared" si="206"/>
        <v>-1.5789999999999997</v>
      </c>
      <c r="AJ97" s="13">
        <f t="shared" si="206"/>
        <v>18.579000000000001</v>
      </c>
      <c r="AK97" s="13">
        <f>+AK69</f>
        <v>1</v>
      </c>
      <c r="AL97" s="13">
        <f>+AL69-AK69</f>
        <v>10</v>
      </c>
      <c r="AM97" s="13">
        <f t="shared" si="141"/>
        <v>-11.282999999999999</v>
      </c>
      <c r="AN97" s="13">
        <f t="shared" si="19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97"/>
        <v>-6.4059999999999988</v>
      </c>
      <c r="AR97" s="13">
        <f t="shared" si="196"/>
        <v>0.7029999999999994</v>
      </c>
      <c r="AS97" s="13">
        <f>+AS69</f>
        <v>6.984</v>
      </c>
      <c r="AT97" s="13">
        <f t="shared" ref="AT97:AV99" si="207">+AT69-AS69</f>
        <v>-7.7320000000000002</v>
      </c>
      <c r="AU97" s="13">
        <f t="shared" si="207"/>
        <v>1.2309999999999999</v>
      </c>
      <c r="AV97" s="93"/>
    </row>
    <row r="98" spans="1:50" ht="15" customHeight="1" x14ac:dyDescent="0.2">
      <c r="B98" s="26" t="s">
        <v>148</v>
      </c>
      <c r="C98" s="13">
        <v>7</v>
      </c>
      <c r="D98" s="13">
        <f>+D70-C70</f>
        <v>-3</v>
      </c>
      <c r="E98" s="13">
        <f>+E70</f>
        <v>-8</v>
      </c>
      <c r="F98" s="13">
        <f t="shared" si="199"/>
        <v>19</v>
      </c>
      <c r="G98" s="13">
        <f t="shared" si="199"/>
        <v>5</v>
      </c>
      <c r="H98" s="13">
        <f t="shared" si="199"/>
        <v>8</v>
      </c>
      <c r="I98" s="13">
        <f>+I70</f>
        <v>2</v>
      </c>
      <c r="J98" s="13">
        <f t="shared" si="200"/>
        <v>12</v>
      </c>
      <c r="K98" s="13">
        <f t="shared" si="200"/>
        <v>6</v>
      </c>
      <c r="L98" s="13">
        <f t="shared" si="200"/>
        <v>-1</v>
      </c>
      <c r="M98" s="13">
        <f>+M70</f>
        <v>4</v>
      </c>
      <c r="N98" s="13">
        <f t="shared" si="201"/>
        <v>5</v>
      </c>
      <c r="O98" s="13">
        <f t="shared" si="201"/>
        <v>8</v>
      </c>
      <c r="P98" s="13">
        <f t="shared" si="201"/>
        <v>11</v>
      </c>
      <c r="Q98" s="13">
        <f>+Q70</f>
        <v>11</v>
      </c>
      <c r="R98" s="13">
        <f t="shared" si="202"/>
        <v>11</v>
      </c>
      <c r="S98" s="13">
        <f t="shared" si="202"/>
        <v>7</v>
      </c>
      <c r="T98" s="13">
        <f t="shared" si="202"/>
        <v>130</v>
      </c>
      <c r="U98" s="13">
        <f>+U70</f>
        <v>62</v>
      </c>
      <c r="V98" s="13">
        <f t="shared" si="203"/>
        <v>15</v>
      </c>
      <c r="W98" s="13">
        <f t="shared" si="203"/>
        <v>12</v>
      </c>
      <c r="X98" s="13">
        <f t="shared" si="203"/>
        <v>3</v>
      </c>
      <c r="Y98" s="13">
        <f>+Y70</f>
        <v>17</v>
      </c>
      <c r="Z98" s="13">
        <f t="shared" si="204"/>
        <v>10</v>
      </c>
      <c r="AA98" s="13">
        <f t="shared" si="204"/>
        <v>14</v>
      </c>
      <c r="AB98" s="13">
        <f t="shared" si="204"/>
        <v>0</v>
      </c>
      <c r="AC98" s="13">
        <f>+AC70</f>
        <v>23</v>
      </c>
      <c r="AD98" s="13">
        <f t="shared" si="205"/>
        <v>13</v>
      </c>
      <c r="AE98" s="13">
        <f t="shared" si="205"/>
        <v>47</v>
      </c>
      <c r="AF98" s="13">
        <f t="shared" si="205"/>
        <v>-5</v>
      </c>
      <c r="AG98" s="13">
        <f>+AG70</f>
        <v>6</v>
      </c>
      <c r="AH98" s="13">
        <f t="shared" si="206"/>
        <v>10</v>
      </c>
      <c r="AI98" s="13">
        <f t="shared" si="206"/>
        <v>19.283000000000001</v>
      </c>
      <c r="AJ98" s="13">
        <f t="shared" si="206"/>
        <v>63.716999999999999</v>
      </c>
      <c r="AK98" s="13">
        <f>+AK70</f>
        <v>16</v>
      </c>
      <c r="AL98" s="13">
        <f>+AL70-AK70</f>
        <v>-10</v>
      </c>
      <c r="AM98" s="13">
        <f t="shared" si="141"/>
        <v>9.3800000000000008</v>
      </c>
      <c r="AN98" s="13">
        <f t="shared" si="19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6"/>
        <v>-107.70500000000001</v>
      </c>
      <c r="AS98" s="13">
        <f>+AS70</f>
        <v>32.511000000000003</v>
      </c>
      <c r="AT98" s="13">
        <f t="shared" si="207"/>
        <v>16.366</v>
      </c>
      <c r="AU98" s="13">
        <f t="shared" si="207"/>
        <v>-9.392000000000003</v>
      </c>
      <c r="AV98" s="13">
        <f t="shared" si="207"/>
        <v>5.4979999999999976</v>
      </c>
    </row>
    <row r="99" spans="1:50" ht="15" customHeight="1" x14ac:dyDescent="0.2">
      <c r="A99" s="63" t="s">
        <v>79</v>
      </c>
      <c r="B99" s="49" t="s">
        <v>135</v>
      </c>
      <c r="C99" s="50">
        <v>45</v>
      </c>
      <c r="D99" s="50">
        <f>+D71-C71</f>
        <v>-127</v>
      </c>
      <c r="E99" s="50">
        <f>+E71</f>
        <v>6</v>
      </c>
      <c r="F99" s="50">
        <f t="shared" si="199"/>
        <v>6</v>
      </c>
      <c r="G99" s="50">
        <f t="shared" si="199"/>
        <v>45</v>
      </c>
      <c r="H99" s="50">
        <f t="shared" si="199"/>
        <v>12</v>
      </c>
      <c r="I99" s="50">
        <f>+I71</f>
        <v>67</v>
      </c>
      <c r="J99" s="50">
        <f t="shared" si="200"/>
        <v>39</v>
      </c>
      <c r="K99" s="50">
        <f t="shared" si="200"/>
        <v>41</v>
      </c>
      <c r="L99" s="50">
        <f t="shared" si="200"/>
        <v>31</v>
      </c>
      <c r="M99" s="50">
        <f>+M71</f>
        <v>76</v>
      </c>
      <c r="N99" s="50">
        <f t="shared" si="201"/>
        <v>67</v>
      </c>
      <c r="O99" s="50">
        <f t="shared" si="201"/>
        <v>54</v>
      </c>
      <c r="P99" s="50">
        <f t="shared" si="201"/>
        <v>46</v>
      </c>
      <c r="Q99" s="50">
        <f>+Q71</f>
        <v>92</v>
      </c>
      <c r="R99" s="50">
        <f t="shared" si="202"/>
        <v>58</v>
      </c>
      <c r="S99" s="50">
        <f t="shared" si="202"/>
        <v>48</v>
      </c>
      <c r="T99" s="50">
        <f t="shared" si="202"/>
        <v>102</v>
      </c>
      <c r="U99" s="50">
        <f>+U71</f>
        <v>147</v>
      </c>
      <c r="V99" s="50">
        <f t="shared" si="203"/>
        <v>-141</v>
      </c>
      <c r="W99" s="50">
        <f t="shared" si="203"/>
        <v>0</v>
      </c>
      <c r="X99" s="50">
        <f t="shared" si="203"/>
        <v>-70</v>
      </c>
      <c r="Y99" s="50">
        <f>+Y71</f>
        <v>142</v>
      </c>
      <c r="Z99" s="50">
        <f t="shared" si="204"/>
        <v>42</v>
      </c>
      <c r="AA99" s="50">
        <f t="shared" si="204"/>
        <v>69</v>
      </c>
      <c r="AB99" s="50">
        <f t="shared" si="204"/>
        <v>-195</v>
      </c>
      <c r="AC99" s="50">
        <f>+AC71</f>
        <v>85</v>
      </c>
      <c r="AD99" s="50">
        <f t="shared" si="205"/>
        <v>30</v>
      </c>
      <c r="AE99" s="50">
        <f t="shared" si="205"/>
        <v>43</v>
      </c>
      <c r="AF99" s="50">
        <f t="shared" si="205"/>
        <v>35</v>
      </c>
      <c r="AG99" s="50">
        <f>+AG71</f>
        <v>150</v>
      </c>
      <c r="AH99" s="50">
        <f t="shared" si="206"/>
        <v>74</v>
      </c>
      <c r="AI99" s="50">
        <f t="shared" si="206"/>
        <v>-9.7119999999999891</v>
      </c>
      <c r="AJ99" s="50">
        <f t="shared" si="206"/>
        <v>115.71199999999999</v>
      </c>
      <c r="AK99" s="50">
        <f>+AK71</f>
        <v>161</v>
      </c>
      <c r="AL99" s="50">
        <f>+AL71-AK71</f>
        <v>224</v>
      </c>
      <c r="AM99" s="50">
        <f t="shared" si="141"/>
        <v>131.10400000000004</v>
      </c>
      <c r="AN99" s="50">
        <f t="shared" si="198"/>
        <v>254.62399999999991</v>
      </c>
      <c r="AO99" s="50">
        <f>+AO71</f>
        <v>241.1</v>
      </c>
      <c r="AP99" s="50">
        <f>+AP71-AO71</f>
        <v>279.29200000000003</v>
      </c>
      <c r="AQ99" s="50">
        <v>446.79700000000003</v>
      </c>
      <c r="AR99" s="50">
        <f>+AR71-AQ71</f>
        <v>433.58299999999838</v>
      </c>
      <c r="AS99" s="50">
        <f>+AS71</f>
        <v>780.90499999999997</v>
      </c>
      <c r="AT99" s="50">
        <f t="shared" si="207"/>
        <v>398.45600000000013</v>
      </c>
      <c r="AU99" s="50">
        <f t="shared" si="207"/>
        <v>256.98799999999983</v>
      </c>
      <c r="AV99" s="50">
        <f t="shared" si="207"/>
        <v>-21.490000000000009</v>
      </c>
    </row>
    <row r="100" spans="1:50" x14ac:dyDescent="0.2">
      <c r="C100" s="92">
        <f t="shared" ref="C100:S100" si="208">C92/C76</f>
        <v>3.1645569620253164E-3</v>
      </c>
      <c r="D100" s="92">
        <f t="shared" si="208"/>
        <v>-4.784688995215311E-2</v>
      </c>
      <c r="E100" s="92">
        <f t="shared" si="208"/>
        <v>2.1739130434782608E-2</v>
      </c>
      <c r="F100" s="92">
        <f t="shared" si="208"/>
        <v>0</v>
      </c>
      <c r="G100" s="92">
        <f t="shared" si="208"/>
        <v>6.4066852367688026E-2</v>
      </c>
      <c r="H100" s="92">
        <f t="shared" si="208"/>
        <v>-1.4925373134328358E-2</v>
      </c>
      <c r="I100" s="92">
        <f t="shared" si="208"/>
        <v>4.2735042735042736E-2</v>
      </c>
      <c r="J100" s="92">
        <f t="shared" si="208"/>
        <v>2.1352313167259787E-2</v>
      </c>
      <c r="K100" s="92">
        <f t="shared" si="208"/>
        <v>6.0836501901140684E-2</v>
      </c>
      <c r="L100" s="92">
        <f t="shared" si="208"/>
        <v>2.1021021021021023E-2</v>
      </c>
      <c r="M100" s="92">
        <f t="shared" si="208"/>
        <v>6.920415224913495E-3</v>
      </c>
      <c r="N100" s="92">
        <f t="shared" si="208"/>
        <v>5.3268765133171914E-2</v>
      </c>
      <c r="O100" s="92">
        <f t="shared" si="208"/>
        <v>4.8245614035087717E-2</v>
      </c>
      <c r="P100" s="92">
        <f t="shared" si="208"/>
        <v>3.6827195467422094E-2</v>
      </c>
      <c r="Q100" s="92">
        <f t="shared" si="208"/>
        <v>7.0342205323193921E-2</v>
      </c>
      <c r="R100" s="92">
        <f t="shared" si="208"/>
        <v>1.5100671140939598E-2</v>
      </c>
      <c r="S100" s="92">
        <f t="shared" si="208"/>
        <v>4.5307443365695796E-2</v>
      </c>
      <c r="T100" s="92">
        <f t="shared" ref="T100:AU100" si="209">T92/T76</f>
        <v>-7.6335877862595422E-2</v>
      </c>
      <c r="U100" s="92">
        <f t="shared" si="209"/>
        <v>5.7761732851985562E-2</v>
      </c>
      <c r="V100" s="92">
        <f t="shared" si="209"/>
        <v>-0.22895622895622897</v>
      </c>
      <c r="W100" s="92">
        <f t="shared" si="209"/>
        <v>-1.8363939899833055E-2</v>
      </c>
      <c r="X100" s="92">
        <f t="shared" si="209"/>
        <v>-0.17586206896551723</v>
      </c>
      <c r="Y100" s="92">
        <f t="shared" si="209"/>
        <v>3.9408866995073892E-2</v>
      </c>
      <c r="Z100" s="92">
        <f t="shared" si="209"/>
        <v>2.7149321266968326E-2</v>
      </c>
      <c r="AA100" s="92">
        <f t="shared" si="209"/>
        <v>3.1029619181946404E-2</v>
      </c>
      <c r="AB100" s="92">
        <f t="shared" si="209"/>
        <v>-0.33163913595933925</v>
      </c>
      <c r="AC100" s="92">
        <f t="shared" si="209"/>
        <v>2.88659793814433E-2</v>
      </c>
      <c r="AD100" s="92">
        <f t="shared" si="209"/>
        <v>5.6390977443609019E-3</v>
      </c>
      <c r="AE100" s="92">
        <f t="shared" si="209"/>
        <v>3.0991735537190084E-2</v>
      </c>
      <c r="AF100" s="92">
        <f t="shared" si="209"/>
        <v>1.5337423312883436E-2</v>
      </c>
      <c r="AG100" s="92">
        <f t="shared" si="209"/>
        <v>5.4140127388535034E-2</v>
      </c>
      <c r="AH100" s="92">
        <f t="shared" si="209"/>
        <v>2.318840579710145E-2</v>
      </c>
      <c r="AI100" s="92">
        <f t="shared" si="209"/>
        <v>-5.5705595069907923E-2</v>
      </c>
      <c r="AJ100" s="92">
        <f t="shared" si="209"/>
        <v>7.9599734318177531E-2</v>
      </c>
      <c r="AK100" s="92">
        <f t="shared" si="209"/>
        <v>3.1833150384193196E-2</v>
      </c>
      <c r="AL100" s="92">
        <f t="shared" si="209"/>
        <v>0.12608277189605391</v>
      </c>
      <c r="AM100" s="92">
        <f t="shared" si="209"/>
        <v>5.566172173661664E-2</v>
      </c>
      <c r="AN100" s="92">
        <f t="shared" si="209"/>
        <v>9.4075576855267781E-2</v>
      </c>
      <c r="AO100" s="92">
        <f t="shared" si="209"/>
        <v>8.7415171672377875E-2</v>
      </c>
      <c r="AP100" s="92">
        <f t="shared" si="209"/>
        <v>7.0592367959595156E-2</v>
      </c>
      <c r="AQ100" s="92">
        <f t="shared" si="209"/>
        <v>7.7449293498096858E-2</v>
      </c>
      <c r="AR100" s="92">
        <f t="shared" si="209"/>
        <v>8.0775797617090778E-2</v>
      </c>
      <c r="AS100" s="92">
        <f t="shared" si="209"/>
        <v>0.18738797805029619</v>
      </c>
      <c r="AT100" s="92">
        <f t="shared" si="209"/>
        <v>8.8599138549242035E-2</v>
      </c>
      <c r="AU100" s="92">
        <f t="shared" si="209"/>
        <v>8.9514505090792798E-2</v>
      </c>
      <c r="AV100" s="92">
        <f t="shared" ref="AV100" si="210">AV92/AV76</f>
        <v>-3.3877577900155435E-2</v>
      </c>
    </row>
    <row r="101" spans="1:50" x14ac:dyDescent="0.2">
      <c r="AT101" s="88"/>
      <c r="AU101" s="88"/>
    </row>
    <row r="102" spans="1:50" ht="20.100000000000001" customHeight="1" x14ac:dyDescent="0.2">
      <c r="B102" s="34" t="s">
        <v>165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50" x14ac:dyDescent="0.2">
      <c r="B103" s="36" t="s">
        <v>132</v>
      </c>
      <c r="C103" s="37" t="s">
        <v>84</v>
      </c>
      <c r="D103" s="37">
        <v>2008</v>
      </c>
      <c r="E103" s="37" t="s">
        <v>85</v>
      </c>
      <c r="F103" s="37" t="s">
        <v>86</v>
      </c>
      <c r="G103" s="37" t="s">
        <v>87</v>
      </c>
      <c r="H103" s="37">
        <v>2009</v>
      </c>
      <c r="I103" s="37" t="s">
        <v>88</v>
      </c>
      <c r="J103" s="37" t="s">
        <v>89</v>
      </c>
      <c r="K103" s="37" t="s">
        <v>90</v>
      </c>
      <c r="L103" s="37">
        <v>2010</v>
      </c>
      <c r="M103" s="37" t="s">
        <v>91</v>
      </c>
      <c r="N103" s="37" t="s">
        <v>92</v>
      </c>
      <c r="O103" s="37" t="s">
        <v>93</v>
      </c>
      <c r="P103" s="37">
        <v>2011</v>
      </c>
      <c r="Q103" s="37" t="s">
        <v>94</v>
      </c>
      <c r="R103" s="37" t="s">
        <v>95</v>
      </c>
      <c r="S103" s="37" t="s">
        <v>96</v>
      </c>
      <c r="T103" s="37">
        <v>2012</v>
      </c>
      <c r="U103" s="37" t="s">
        <v>97</v>
      </c>
      <c r="V103" s="37" t="s">
        <v>98</v>
      </c>
      <c r="W103" s="37" t="s">
        <v>99</v>
      </c>
      <c r="X103" s="37">
        <v>2013</v>
      </c>
      <c r="Y103" s="37" t="s">
        <v>100</v>
      </c>
      <c r="Z103" s="37" t="s">
        <v>101</v>
      </c>
      <c r="AA103" s="37" t="s">
        <v>102</v>
      </c>
      <c r="AB103" s="37">
        <v>2014</v>
      </c>
      <c r="AC103" s="37" t="s">
        <v>103</v>
      </c>
      <c r="AD103" s="37" t="s">
        <v>104</v>
      </c>
      <c r="AE103" s="37" t="s">
        <v>105</v>
      </c>
      <c r="AF103" s="37">
        <v>2015</v>
      </c>
      <c r="AG103" s="37" t="s">
        <v>106</v>
      </c>
      <c r="AH103" s="37" t="s">
        <v>107</v>
      </c>
      <c r="AI103" s="37" t="s">
        <v>108</v>
      </c>
      <c r="AJ103" s="37">
        <v>2016</v>
      </c>
      <c r="AK103" s="37" t="s">
        <v>109</v>
      </c>
      <c r="AL103" s="37" t="s">
        <v>110</v>
      </c>
      <c r="AM103" s="37" t="s">
        <v>111</v>
      </c>
      <c r="AN103" s="37">
        <v>2017</v>
      </c>
      <c r="AO103" s="37" t="s">
        <v>112</v>
      </c>
      <c r="AP103" s="37" t="s">
        <v>113</v>
      </c>
      <c r="AQ103" s="37" t="s">
        <v>114</v>
      </c>
      <c r="AR103" s="37">
        <v>2018</v>
      </c>
      <c r="AS103" s="37" t="s">
        <v>187</v>
      </c>
      <c r="AT103" s="37" t="s">
        <v>190</v>
      </c>
      <c r="AU103" s="37" t="s">
        <v>192</v>
      </c>
      <c r="AV103" s="37">
        <v>2019</v>
      </c>
    </row>
    <row r="104" spans="1:50" ht="15" customHeight="1" x14ac:dyDescent="0.2">
      <c r="B104" s="48" t="s">
        <v>169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13">
        <v>4725.6019999999999</v>
      </c>
      <c r="AR104" s="13">
        <v>4581.6000000000004</v>
      </c>
      <c r="AS104" s="13">
        <v>4520.4250000000002</v>
      </c>
      <c r="AT104" s="13">
        <v>4292.25</v>
      </c>
      <c r="AU104" s="13">
        <v>3977.0259999999998</v>
      </c>
      <c r="AV104" s="13">
        <v>4094.625</v>
      </c>
      <c r="AX104" s="42"/>
    </row>
    <row r="105" spans="1:50" ht="15" customHeight="1" x14ac:dyDescent="0.2">
      <c r="B105" s="26" t="s">
        <v>170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13">
        <v>1738.7550000000001</v>
      </c>
      <c r="AR105" s="13">
        <v>1444.2840000000001</v>
      </c>
      <c r="AS105" s="13">
        <v>2323.915</v>
      </c>
      <c r="AT105" s="13">
        <v>2086.7939999999999</v>
      </c>
      <c r="AU105" s="13">
        <v>1399.9860000000001</v>
      </c>
      <c r="AV105" s="13">
        <v>1953.336</v>
      </c>
    </row>
    <row r="106" spans="1:50" ht="15" customHeight="1" x14ac:dyDescent="0.2">
      <c r="B106" s="26" t="s">
        <v>171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13">
        <v>1384.643</v>
      </c>
      <c r="AR106" s="13">
        <v>1370.5650000000001</v>
      </c>
      <c r="AS106" s="13">
        <v>1151.3779999999999</v>
      </c>
      <c r="AT106" s="13">
        <v>1225.769</v>
      </c>
      <c r="AU106" s="13">
        <v>1739.1</v>
      </c>
      <c r="AV106" s="13">
        <v>1448.934</v>
      </c>
    </row>
    <row r="107" spans="1:50" ht="15" customHeight="1" x14ac:dyDescent="0.2">
      <c r="B107" s="26" t="s">
        <v>172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13">
        <v>2011.8140000000001</v>
      </c>
      <c r="AR107" s="71">
        <v>1989.2260000000001</v>
      </c>
      <c r="AS107" s="13">
        <v>2044.829</v>
      </c>
      <c r="AT107" s="13">
        <v>2051.9180000000001</v>
      </c>
      <c r="AU107" s="13">
        <v>2061.1680000000001</v>
      </c>
      <c r="AV107" s="13">
        <v>2135.2060000000001</v>
      </c>
    </row>
    <row r="108" spans="1:50" ht="15" customHeight="1" x14ac:dyDescent="0.2">
      <c r="B108" s="26" t="s">
        <v>173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13">
        <v>165.41399999999999</v>
      </c>
      <c r="AR108" s="13">
        <v>115.012</v>
      </c>
      <c r="AS108" s="13">
        <v>121.779</v>
      </c>
      <c r="AT108" s="13">
        <v>127.13500000000001</v>
      </c>
      <c r="AU108" s="13">
        <v>193.32400000000001</v>
      </c>
      <c r="AV108" s="13">
        <v>106.459</v>
      </c>
    </row>
    <row r="109" spans="1:50" ht="15" customHeight="1" x14ac:dyDescent="0.2">
      <c r="B109" s="49" t="s">
        <v>166</v>
      </c>
      <c r="C109" s="50">
        <v>2830.81</v>
      </c>
      <c r="D109" s="50">
        <v>2996.2440000000001</v>
      </c>
      <c r="E109" s="50">
        <v>2982.7330000000002</v>
      </c>
      <c r="F109" s="50">
        <v>2885.585</v>
      </c>
      <c r="G109" s="50">
        <v>2888.4549999999999</v>
      </c>
      <c r="H109" s="50">
        <v>2773.8229999999999</v>
      </c>
      <c r="I109" s="50">
        <v>2884.32</v>
      </c>
      <c r="J109" s="50">
        <v>2883.6410000000001</v>
      </c>
      <c r="K109" s="50">
        <v>2849.6840000000002</v>
      </c>
      <c r="L109" s="50">
        <v>3065.8809999999999</v>
      </c>
      <c r="M109" s="50">
        <v>3208.2350000000001</v>
      </c>
      <c r="N109" s="50">
        <v>3392.2379999999998</v>
      </c>
      <c r="O109" s="50">
        <v>3665.16</v>
      </c>
      <c r="P109" s="50">
        <v>3747.73</v>
      </c>
      <c r="Q109" s="50">
        <v>3944.578</v>
      </c>
      <c r="R109" s="50">
        <v>3991.5329999999999</v>
      </c>
      <c r="S109" s="50">
        <v>3957.6469999999999</v>
      </c>
      <c r="T109" s="50">
        <v>4129.6210000000001</v>
      </c>
      <c r="U109" s="50">
        <v>4430.8040000000001</v>
      </c>
      <c r="V109" s="50">
        <v>4260.2610000000004</v>
      </c>
      <c r="W109" s="50">
        <v>4455.0550000000003</v>
      </c>
      <c r="X109" s="50">
        <v>4697.42</v>
      </c>
      <c r="Y109" s="50">
        <v>4907.5519999999997</v>
      </c>
      <c r="Z109" s="50">
        <v>4907.424</v>
      </c>
      <c r="AA109" s="50">
        <v>4996.6959999999999</v>
      </c>
      <c r="AB109" s="50">
        <v>4955.482</v>
      </c>
      <c r="AC109" s="50">
        <v>5346.2049999999999</v>
      </c>
      <c r="AD109" s="50">
        <v>5479.5439999999999</v>
      </c>
      <c r="AE109" s="50">
        <v>6086.8969999999999</v>
      </c>
      <c r="AF109" s="50">
        <v>5626.0550000000003</v>
      </c>
      <c r="AG109" s="50">
        <v>5661.7860000000001</v>
      </c>
      <c r="AH109" s="50">
        <v>5649.2950000000001</v>
      </c>
      <c r="AI109" s="50">
        <v>5769.5810000000001</v>
      </c>
      <c r="AJ109" s="50">
        <v>6668.8090000000002</v>
      </c>
      <c r="AK109" s="50">
        <v>8561.5390000000007</v>
      </c>
      <c r="AL109" s="50">
        <v>8500.5419999999995</v>
      </c>
      <c r="AM109" s="50">
        <v>8368.6669999999995</v>
      </c>
      <c r="AN109" s="50">
        <v>9366.75</v>
      </c>
      <c r="AO109" s="50">
        <v>9836.6239999999998</v>
      </c>
      <c r="AP109" s="50">
        <v>10610.319</v>
      </c>
      <c r="AQ109" s="50">
        <v>12847.915000000001</v>
      </c>
      <c r="AR109" s="50">
        <v>12035.52</v>
      </c>
      <c r="AS109" s="50">
        <v>13435.368</v>
      </c>
      <c r="AT109" s="50">
        <v>12460.67</v>
      </c>
      <c r="AU109" s="50">
        <v>12241.508</v>
      </c>
      <c r="AV109" s="50">
        <v>12663.147999999999</v>
      </c>
    </row>
    <row r="110" spans="1:50" ht="15" customHeight="1" x14ac:dyDescent="0.2">
      <c r="B110" s="26" t="s">
        <v>168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13">
        <v>3194.837</v>
      </c>
      <c r="AR110" s="13">
        <v>2863.7689999999998</v>
      </c>
      <c r="AS110" s="13">
        <v>3004.8710000000001</v>
      </c>
      <c r="AT110" s="13">
        <v>2922.511</v>
      </c>
      <c r="AU110" s="13">
        <v>2903.4319999999998</v>
      </c>
      <c r="AV110" s="13">
        <v>3330.48</v>
      </c>
    </row>
    <row r="111" spans="1:50" ht="15" customHeight="1" x14ac:dyDescent="0.2">
      <c r="B111" s="26" t="s">
        <v>174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13">
        <f>783.6+178.323</f>
        <v>961.923</v>
      </c>
      <c r="AR111" s="13">
        <f>740.233+155.621</f>
        <v>895.85399999999993</v>
      </c>
      <c r="AS111" s="13">
        <f>537.246+183.738</f>
        <v>720.98399999999992</v>
      </c>
      <c r="AT111" s="13">
        <f>542.341+203.866</f>
        <v>746.20699999999999</v>
      </c>
      <c r="AU111" s="13">
        <f>583.766+183.372</f>
        <v>767.13799999999992</v>
      </c>
      <c r="AV111" s="13">
        <f>407.897+212.591</f>
        <v>620.48800000000006</v>
      </c>
    </row>
    <row r="112" spans="1:50" ht="15" customHeight="1" x14ac:dyDescent="0.2">
      <c r="B112" s="26" t="s">
        <v>175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13">
        <v>348.18599999999998</v>
      </c>
      <c r="AR112" s="13">
        <v>222.327</v>
      </c>
      <c r="AS112" s="13">
        <v>97.45</v>
      </c>
      <c r="AT112" s="13">
        <v>111.151</v>
      </c>
      <c r="AU112" s="13">
        <v>69.896000000000001</v>
      </c>
      <c r="AV112" s="13">
        <v>215.458</v>
      </c>
    </row>
    <row r="113" spans="1:48" ht="15" customHeight="1" x14ac:dyDescent="0.2">
      <c r="B113" s="26" t="s">
        <v>176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13">
        <v>4223.5420000000004</v>
      </c>
      <c r="AR113" s="13">
        <v>4424.3950000000004</v>
      </c>
      <c r="AS113" s="13">
        <v>4874.2209999999995</v>
      </c>
      <c r="AT113" s="13">
        <v>5171.0259999999998</v>
      </c>
      <c r="AU113" s="13">
        <v>5391.201</v>
      </c>
      <c r="AV113" s="13">
        <v>5496.87</v>
      </c>
    </row>
    <row r="114" spans="1:48" ht="15" customHeight="1" x14ac:dyDescent="0.2">
      <c r="A114" s="63" t="s">
        <v>79</v>
      </c>
      <c r="B114" s="49" t="s">
        <v>167</v>
      </c>
      <c r="C114" s="50">
        <v>2830.81</v>
      </c>
      <c r="D114" s="50">
        <v>2996.2440000000001</v>
      </c>
      <c r="E114" s="50">
        <v>2982.7330000000002</v>
      </c>
      <c r="F114" s="50">
        <v>2885.585</v>
      </c>
      <c r="G114" s="50">
        <v>2888.4549999999999</v>
      </c>
      <c r="H114" s="50">
        <v>2773.8229999999999</v>
      </c>
      <c r="I114" s="50">
        <v>2884.32</v>
      </c>
      <c r="J114" s="50">
        <v>2883.6410000000001</v>
      </c>
      <c r="K114" s="50">
        <v>2849.6840000000002</v>
      </c>
      <c r="L114" s="50">
        <v>3065.8809999999999</v>
      </c>
      <c r="M114" s="50">
        <v>3208.2350000000001</v>
      </c>
      <c r="N114" s="50">
        <v>3392.2379999999998</v>
      </c>
      <c r="O114" s="50">
        <v>3665.16</v>
      </c>
      <c r="P114" s="50">
        <v>3747.73</v>
      </c>
      <c r="Q114" s="50">
        <v>3944.578</v>
      </c>
      <c r="R114" s="50">
        <v>3991.5329999999999</v>
      </c>
      <c r="S114" s="50">
        <v>3957.6469999999999</v>
      </c>
      <c r="T114" s="50">
        <v>4129.6210000000001</v>
      </c>
      <c r="U114" s="50">
        <v>4430.8040000000001</v>
      </c>
      <c r="V114" s="50">
        <v>4260.2610000000004</v>
      </c>
      <c r="W114" s="50">
        <v>4455.0550000000003</v>
      </c>
      <c r="X114" s="50">
        <v>4697.42</v>
      </c>
      <c r="Y114" s="50">
        <v>4907.5519999999997</v>
      </c>
      <c r="Z114" s="50">
        <v>4907.424</v>
      </c>
      <c r="AA114" s="50">
        <v>4996.6959999999999</v>
      </c>
      <c r="AB114" s="50">
        <v>4955.482</v>
      </c>
      <c r="AC114" s="50">
        <v>5346.2049999999999</v>
      </c>
      <c r="AD114" s="50">
        <v>5479.5439999999999</v>
      </c>
      <c r="AE114" s="50">
        <v>6086.8969999999999</v>
      </c>
      <c r="AF114" s="50">
        <v>5626.0550000000003</v>
      </c>
      <c r="AG114" s="50">
        <v>5661.7860000000001</v>
      </c>
      <c r="AH114" s="50">
        <v>5649.2950000000001</v>
      </c>
      <c r="AI114" s="50">
        <v>5769.5810000000001</v>
      </c>
      <c r="AJ114" s="50">
        <v>6668.8090000000002</v>
      </c>
      <c r="AK114" s="50">
        <v>8561.5390000000007</v>
      </c>
      <c r="AL114" s="50">
        <v>8500.5419999999995</v>
      </c>
      <c r="AM114" s="50">
        <v>8368.6669999999995</v>
      </c>
      <c r="AN114" s="50">
        <v>9366.75</v>
      </c>
      <c r="AO114" s="50">
        <v>9836.6239999999998</v>
      </c>
      <c r="AP114" s="50">
        <v>10610.319</v>
      </c>
      <c r="AQ114" s="50">
        <v>12847.915000000001</v>
      </c>
      <c r="AR114" s="50">
        <v>12035.52</v>
      </c>
      <c r="AS114" s="50">
        <v>13435.368</v>
      </c>
      <c r="AT114" s="50">
        <v>12460.67</v>
      </c>
      <c r="AU114" s="50">
        <v>12241.508</v>
      </c>
      <c r="AV114" s="50">
        <v>12663.147999999999</v>
      </c>
    </row>
    <row r="117" spans="1:48" ht="20.100000000000001" customHeight="1" x14ac:dyDescent="0.2">
      <c r="B117" s="34" t="s">
        <v>177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x14ac:dyDescent="0.2">
      <c r="B118" s="36" t="s">
        <v>132</v>
      </c>
      <c r="C118" s="37" t="s">
        <v>84</v>
      </c>
      <c r="D118" s="37">
        <v>2008</v>
      </c>
      <c r="E118" s="37" t="s">
        <v>85</v>
      </c>
      <c r="F118" s="37" t="s">
        <v>86</v>
      </c>
      <c r="G118" s="37" t="s">
        <v>87</v>
      </c>
      <c r="H118" s="37">
        <v>2009</v>
      </c>
      <c r="I118" s="37" t="s">
        <v>88</v>
      </c>
      <c r="J118" s="37" t="s">
        <v>89</v>
      </c>
      <c r="K118" s="37" t="s">
        <v>90</v>
      </c>
      <c r="L118" s="37">
        <v>2010</v>
      </c>
      <c r="M118" s="37" t="s">
        <v>91</v>
      </c>
      <c r="N118" s="37" t="s">
        <v>92</v>
      </c>
      <c r="O118" s="37" t="s">
        <v>93</v>
      </c>
      <c r="P118" s="37">
        <v>2011</v>
      </c>
      <c r="Q118" s="37" t="s">
        <v>94</v>
      </c>
      <c r="R118" s="37" t="s">
        <v>95</v>
      </c>
      <c r="S118" s="37" t="s">
        <v>96</v>
      </c>
      <c r="T118" s="37">
        <v>2012</v>
      </c>
      <c r="U118" s="37" t="s">
        <v>97</v>
      </c>
      <c r="V118" s="37" t="s">
        <v>98</v>
      </c>
      <c r="W118" s="37" t="s">
        <v>99</v>
      </c>
      <c r="X118" s="37">
        <v>2013</v>
      </c>
      <c r="Y118" s="37" t="s">
        <v>100</v>
      </c>
      <c r="Z118" s="37" t="s">
        <v>101</v>
      </c>
      <c r="AA118" s="37" t="s">
        <v>102</v>
      </c>
      <c r="AB118" s="37">
        <v>2014</v>
      </c>
      <c r="AC118" s="37" t="s">
        <v>103</v>
      </c>
      <c r="AD118" s="37" t="s">
        <v>104</v>
      </c>
      <c r="AE118" s="37" t="s">
        <v>105</v>
      </c>
      <c r="AF118" s="37">
        <v>2015</v>
      </c>
      <c r="AG118" s="37" t="s">
        <v>106</v>
      </c>
      <c r="AH118" s="37" t="s">
        <v>107</v>
      </c>
      <c r="AI118" s="37" t="s">
        <v>108</v>
      </c>
      <c r="AJ118" s="37">
        <v>2016</v>
      </c>
      <c r="AK118" s="37" t="s">
        <v>109</v>
      </c>
      <c r="AL118" s="37" t="s">
        <v>110</v>
      </c>
      <c r="AM118" s="37" t="s">
        <v>111</v>
      </c>
      <c r="AN118" s="37">
        <v>2017</v>
      </c>
      <c r="AO118" s="37" t="s">
        <v>112</v>
      </c>
      <c r="AP118" s="37" t="s">
        <v>113</v>
      </c>
      <c r="AQ118" s="37" t="s">
        <v>114</v>
      </c>
      <c r="AR118" s="37">
        <v>2018</v>
      </c>
      <c r="AS118" s="37" t="s">
        <v>187</v>
      </c>
      <c r="AT118" s="37" t="s">
        <v>190</v>
      </c>
      <c r="AU118" s="37" t="s">
        <v>192</v>
      </c>
      <c r="AV118" s="37">
        <v>2019</v>
      </c>
    </row>
    <row r="119" spans="1:48" ht="15" customHeight="1" x14ac:dyDescent="0.2">
      <c r="B119" s="26" t="s">
        <v>11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">
      <c r="B120" s="26" t="s">
        <v>147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94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">
      <c r="B121" s="26" t="s">
        <v>149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94">
        <v>598.12400000000002</v>
      </c>
      <c r="AS121" s="3">
        <v>528.24599999999998</v>
      </c>
      <c r="AT121" s="3">
        <v>492.74700000000001</v>
      </c>
      <c r="AU121" s="3">
        <v>450.553</v>
      </c>
      <c r="AV121" s="93"/>
    </row>
    <row r="122" spans="1:48" ht="15" customHeight="1" x14ac:dyDescent="0.2">
      <c r="B122" s="26" t="s">
        <v>148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94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">
      <c r="B123" s="26" t="s">
        <v>178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6</v>
      </c>
      <c r="I123" s="3">
        <v>-777.74599999999998</v>
      </c>
      <c r="J123" s="3" t="s">
        <v>6</v>
      </c>
      <c r="K123" s="3" t="s">
        <v>6</v>
      </c>
      <c r="L123" s="3" t="s">
        <v>6</v>
      </c>
      <c r="M123" s="3" t="s">
        <v>6</v>
      </c>
      <c r="N123" s="3" t="s">
        <v>6</v>
      </c>
      <c r="O123" s="3" t="s">
        <v>6</v>
      </c>
      <c r="P123" s="3" t="s">
        <v>6</v>
      </c>
      <c r="Q123" s="3" t="s">
        <v>6</v>
      </c>
      <c r="R123" s="3" t="s">
        <v>6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  <c r="AG123" s="3" t="s">
        <v>6</v>
      </c>
      <c r="AH123" s="3" t="s">
        <v>6</v>
      </c>
      <c r="AI123" s="3" t="s">
        <v>6</v>
      </c>
      <c r="AJ123" s="3" t="s">
        <v>6</v>
      </c>
      <c r="AK123" s="3" t="s">
        <v>6</v>
      </c>
      <c r="AL123" s="3" t="s">
        <v>6</v>
      </c>
      <c r="AM123" s="3" t="s">
        <v>6</v>
      </c>
      <c r="AN123" s="3" t="s">
        <v>6</v>
      </c>
      <c r="AO123" s="3" t="s">
        <v>6</v>
      </c>
      <c r="AP123" s="3" t="s">
        <v>6</v>
      </c>
      <c r="AQ123" s="3" t="s">
        <v>6</v>
      </c>
      <c r="AR123" s="94" t="s">
        <v>6</v>
      </c>
      <c r="AS123" s="3" t="s">
        <v>6</v>
      </c>
      <c r="AT123" s="3" t="s">
        <v>6</v>
      </c>
      <c r="AU123" s="3" t="s">
        <v>6</v>
      </c>
      <c r="AV123" s="3"/>
    </row>
    <row r="124" spans="1:48" ht="15" customHeight="1" x14ac:dyDescent="0.2">
      <c r="B124" s="49" t="s">
        <v>166</v>
      </c>
      <c r="C124" s="50">
        <f>+SUM(C119:C123)</f>
        <v>2830.8099999999995</v>
      </c>
      <c r="D124" s="50">
        <f t="shared" ref="D124:AN124" si="211">+SUM(D119:D123)</f>
        <v>2996.75</v>
      </c>
      <c r="E124" s="50">
        <f t="shared" si="211"/>
        <v>2982.7260000000006</v>
      </c>
      <c r="F124" s="50">
        <f t="shared" si="211"/>
        <v>2885.585</v>
      </c>
      <c r="G124" s="50">
        <f t="shared" si="211"/>
        <v>2888.4550000000004</v>
      </c>
      <c r="H124" s="50">
        <f t="shared" si="211"/>
        <v>2773.8229999999999</v>
      </c>
      <c r="I124" s="50">
        <f t="shared" si="211"/>
        <v>2884.3199999999997</v>
      </c>
      <c r="J124" s="50">
        <f t="shared" si="211"/>
        <v>2883.6409999999996</v>
      </c>
      <c r="K124" s="50">
        <f t="shared" si="211"/>
        <v>2849.6839999999997</v>
      </c>
      <c r="L124" s="50">
        <f t="shared" si="211"/>
        <v>3065.8809999999994</v>
      </c>
      <c r="M124" s="50">
        <f t="shared" si="211"/>
        <v>3208.2350000000006</v>
      </c>
      <c r="N124" s="50">
        <f t="shared" si="211"/>
        <v>3392.2380000000003</v>
      </c>
      <c r="O124" s="50">
        <f t="shared" si="211"/>
        <v>3665.16</v>
      </c>
      <c r="P124" s="50">
        <f t="shared" si="211"/>
        <v>3747.73</v>
      </c>
      <c r="Q124" s="50">
        <f t="shared" si="211"/>
        <v>3944.578</v>
      </c>
      <c r="R124" s="50">
        <f t="shared" si="211"/>
        <v>3991.5329999999999</v>
      </c>
      <c r="S124" s="50">
        <f t="shared" si="211"/>
        <v>3957.6470000000004</v>
      </c>
      <c r="T124" s="50">
        <f t="shared" si="211"/>
        <v>4129.6210000000001</v>
      </c>
      <c r="U124" s="50">
        <f t="shared" si="211"/>
        <v>4430.8040000000001</v>
      </c>
      <c r="V124" s="50">
        <f t="shared" si="211"/>
        <v>4260.2609999999995</v>
      </c>
      <c r="W124" s="50">
        <f t="shared" si="211"/>
        <v>4455.0550000000003</v>
      </c>
      <c r="X124" s="50">
        <f t="shared" si="211"/>
        <v>4697.42</v>
      </c>
      <c r="Y124" s="50">
        <f t="shared" si="211"/>
        <v>4907.5519999999997</v>
      </c>
      <c r="Z124" s="50">
        <f t="shared" si="211"/>
        <v>4907.424</v>
      </c>
      <c r="AA124" s="50">
        <f t="shared" si="211"/>
        <v>4996.6959999999999</v>
      </c>
      <c r="AB124" s="50">
        <f t="shared" si="211"/>
        <v>4955.482</v>
      </c>
      <c r="AC124" s="50">
        <f t="shared" si="211"/>
        <v>5346.2049999999999</v>
      </c>
      <c r="AD124" s="50">
        <f t="shared" si="211"/>
        <v>5479.5439999999999</v>
      </c>
      <c r="AE124" s="50">
        <f t="shared" si="211"/>
        <v>6086.896999999999</v>
      </c>
      <c r="AF124" s="50">
        <f t="shared" si="211"/>
        <v>5626.0550000000003</v>
      </c>
      <c r="AG124" s="50">
        <f t="shared" si="211"/>
        <v>5661.7859999999991</v>
      </c>
      <c r="AH124" s="50">
        <f t="shared" si="211"/>
        <v>5649.2950000000001</v>
      </c>
      <c r="AI124" s="50">
        <f t="shared" si="211"/>
        <v>5769.5810000000001</v>
      </c>
      <c r="AJ124" s="50">
        <f t="shared" si="211"/>
        <v>6668.8090000000002</v>
      </c>
      <c r="AK124" s="50">
        <f t="shared" si="211"/>
        <v>8561.5390000000007</v>
      </c>
      <c r="AL124" s="50">
        <f t="shared" si="211"/>
        <v>8500.5419999999995</v>
      </c>
      <c r="AM124" s="50">
        <f t="shared" si="211"/>
        <v>8368.6669999999995</v>
      </c>
      <c r="AN124" s="50">
        <f t="shared" si="211"/>
        <v>9366.75</v>
      </c>
      <c r="AO124" s="50">
        <v>9836.6239999999998</v>
      </c>
      <c r="AP124" s="50">
        <v>10610.319</v>
      </c>
      <c r="AQ124" s="50">
        <v>12847.915000000001</v>
      </c>
      <c r="AR124" s="95">
        <v>12035.52</v>
      </c>
      <c r="AS124" s="50">
        <v>13435.368</v>
      </c>
      <c r="AT124" s="50">
        <v>12460.67</v>
      </c>
      <c r="AU124" s="50">
        <v>12241.508</v>
      </c>
      <c r="AV124" s="50">
        <v>12663.147999999999</v>
      </c>
    </row>
    <row r="125" spans="1:48" ht="15" customHeight="1" x14ac:dyDescent="0.2">
      <c r="B125" s="26" t="s">
        <v>11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94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">
      <c r="B126" s="26" t="s">
        <v>147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94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">
      <c r="B127" s="26" t="s">
        <v>149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94">
        <v>375.69499999999999</v>
      </c>
      <c r="AS127" s="3">
        <v>299.48099999999999</v>
      </c>
      <c r="AT127" s="3">
        <v>273.221</v>
      </c>
      <c r="AU127" s="3">
        <v>231.16200000000001</v>
      </c>
      <c r="AV127" s="93"/>
    </row>
    <row r="128" spans="1:48" ht="15" customHeight="1" x14ac:dyDescent="0.2">
      <c r="B128" s="26" t="s">
        <v>148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">
      <c r="B129" s="26" t="s">
        <v>178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6</v>
      </c>
      <c r="I129" s="3">
        <v>-55.210999999999999</v>
      </c>
      <c r="J129" s="3" t="s">
        <v>6</v>
      </c>
      <c r="K129" s="3" t="s">
        <v>6</v>
      </c>
      <c r="L129" s="3" t="s">
        <v>6</v>
      </c>
      <c r="M129" s="3" t="s">
        <v>6</v>
      </c>
      <c r="N129" s="3" t="s">
        <v>6</v>
      </c>
      <c r="O129" s="3" t="s">
        <v>6</v>
      </c>
      <c r="P129" s="3" t="s">
        <v>6</v>
      </c>
      <c r="Q129" s="3" t="s">
        <v>6</v>
      </c>
      <c r="R129" s="3" t="s">
        <v>6</v>
      </c>
      <c r="S129" s="3" t="s">
        <v>6</v>
      </c>
      <c r="T129" s="3" t="s">
        <v>6</v>
      </c>
      <c r="U129" s="3" t="s">
        <v>6</v>
      </c>
      <c r="V129" s="3" t="s">
        <v>6</v>
      </c>
      <c r="W129" s="3" t="s">
        <v>6</v>
      </c>
      <c r="X129" s="3" t="s">
        <v>6</v>
      </c>
      <c r="Y129" s="3" t="s">
        <v>6</v>
      </c>
      <c r="Z129" s="3" t="s">
        <v>6</v>
      </c>
      <c r="AA129" s="3" t="s">
        <v>6</v>
      </c>
      <c r="AB129" s="3" t="s">
        <v>6</v>
      </c>
      <c r="AC129" s="3" t="s">
        <v>6</v>
      </c>
      <c r="AD129" s="3" t="s">
        <v>6</v>
      </c>
      <c r="AE129" s="3" t="s">
        <v>6</v>
      </c>
      <c r="AF129" s="3" t="s">
        <v>6</v>
      </c>
      <c r="AG129" s="3" t="s">
        <v>6</v>
      </c>
      <c r="AH129" s="3" t="s">
        <v>6</v>
      </c>
      <c r="AI129" s="3" t="s">
        <v>6</v>
      </c>
      <c r="AJ129" s="3" t="s">
        <v>6</v>
      </c>
      <c r="AK129" s="3" t="s">
        <v>6</v>
      </c>
      <c r="AL129" s="3" t="s">
        <v>6</v>
      </c>
      <c r="AM129" s="3" t="s">
        <v>6</v>
      </c>
      <c r="AN129" s="3" t="s">
        <v>6</v>
      </c>
      <c r="AO129" s="3" t="s">
        <v>6</v>
      </c>
      <c r="AP129" s="3" t="s">
        <v>6</v>
      </c>
      <c r="AQ129" s="3" t="s">
        <v>6</v>
      </c>
      <c r="AR129" s="3" t="s">
        <v>6</v>
      </c>
      <c r="AS129" s="3" t="s">
        <v>6</v>
      </c>
      <c r="AT129" s="3" t="s">
        <v>6</v>
      </c>
      <c r="AU129" s="3" t="s">
        <v>6</v>
      </c>
      <c r="AV129" s="3" t="s">
        <v>6</v>
      </c>
    </row>
    <row r="130" spans="1:48" ht="15" customHeight="1" x14ac:dyDescent="0.2">
      <c r="B130" s="49" t="s">
        <v>179</v>
      </c>
      <c r="C130" s="50">
        <f t="shared" ref="C130:H130" si="212">+SUM(C125:C129)</f>
        <v>1409.7550000000001</v>
      </c>
      <c r="D130" s="50">
        <f t="shared" si="212"/>
        <v>1654.027</v>
      </c>
      <c r="E130" s="50">
        <f t="shared" si="212"/>
        <v>1579.242</v>
      </c>
      <c r="F130" s="50">
        <f t="shared" si="212"/>
        <v>1502.184</v>
      </c>
      <c r="G130" s="50">
        <f t="shared" si="212"/>
        <v>1457.1510000000001</v>
      </c>
      <c r="H130" s="50">
        <f t="shared" si="212"/>
        <v>1329.915</v>
      </c>
      <c r="I130" s="50">
        <f>+SUM(I125:I129)</f>
        <v>1320.434</v>
      </c>
      <c r="J130" s="50">
        <f t="shared" ref="J130:AN130" si="213">+SUM(J125:J129)</f>
        <v>1307.0089999999998</v>
      </c>
      <c r="K130" s="50">
        <f t="shared" si="213"/>
        <v>1268.2499999999998</v>
      </c>
      <c r="L130" s="50">
        <f t="shared" si="213"/>
        <v>1383.202</v>
      </c>
      <c r="M130" s="50">
        <f t="shared" si="213"/>
        <v>1461.1219999999998</v>
      </c>
      <c r="N130" s="50">
        <f t="shared" si="213"/>
        <v>1627.7920000000001</v>
      </c>
      <c r="O130" s="50">
        <f t="shared" si="213"/>
        <v>1820.1080000000002</v>
      </c>
      <c r="P130" s="50">
        <f t="shared" si="213"/>
        <v>1860.124</v>
      </c>
      <c r="Q130" s="50">
        <f t="shared" si="213"/>
        <v>1952.3000000000002</v>
      </c>
      <c r="R130" s="50">
        <f t="shared" si="213"/>
        <v>2035.1330000000003</v>
      </c>
      <c r="S130" s="50">
        <f t="shared" si="213"/>
        <v>1962.1670000000001</v>
      </c>
      <c r="T130" s="50">
        <f t="shared" si="213"/>
        <v>2018.356</v>
      </c>
      <c r="U130" s="50">
        <f t="shared" si="213"/>
        <v>2180.3870000000002</v>
      </c>
      <c r="V130" s="50">
        <f t="shared" si="213"/>
        <v>2279.5920000000001</v>
      </c>
      <c r="W130" s="50">
        <f t="shared" si="213"/>
        <v>2460.5189999999998</v>
      </c>
      <c r="X130" s="50">
        <f t="shared" si="213"/>
        <v>2775.223</v>
      </c>
      <c r="Y130" s="50">
        <f t="shared" si="213"/>
        <v>2825.8669999999997</v>
      </c>
      <c r="Z130" s="50">
        <f t="shared" si="213"/>
        <v>2811.2549999999997</v>
      </c>
      <c r="AA130" s="50">
        <f t="shared" si="213"/>
        <v>2803.5349999999999</v>
      </c>
      <c r="AB130" s="50">
        <f t="shared" si="213"/>
        <v>2959.4180000000001</v>
      </c>
      <c r="AC130" s="50">
        <f t="shared" si="213"/>
        <v>3278.8409999999999</v>
      </c>
      <c r="AD130" s="50">
        <f t="shared" si="213"/>
        <v>3420.4290000000001</v>
      </c>
      <c r="AE130" s="50">
        <f t="shared" si="213"/>
        <v>3966.817</v>
      </c>
      <c r="AF130" s="50">
        <f t="shared" si="213"/>
        <v>3540.92</v>
      </c>
      <c r="AG130" s="50">
        <f t="shared" si="213"/>
        <v>3494.2889999999998</v>
      </c>
      <c r="AH130" s="50">
        <f t="shared" si="213"/>
        <v>3421.741</v>
      </c>
      <c r="AI130" s="50">
        <f t="shared" si="213"/>
        <v>3551.2679999999996</v>
      </c>
      <c r="AJ130" s="50">
        <f t="shared" si="213"/>
        <v>4289.3519999999999</v>
      </c>
      <c r="AK130" s="50">
        <f t="shared" si="213"/>
        <v>6144.9930000000004</v>
      </c>
      <c r="AL130" s="50">
        <f t="shared" si="213"/>
        <v>5899.2859999999991</v>
      </c>
      <c r="AM130" s="50">
        <f t="shared" si="213"/>
        <v>5645.2480000000005</v>
      </c>
      <c r="AN130" s="50">
        <f t="shared" si="213"/>
        <v>6358.4359999999997</v>
      </c>
      <c r="AO130" s="50">
        <v>6785.6859999999997</v>
      </c>
      <c r="AP130" s="50">
        <v>7176.2669999999998</v>
      </c>
      <c r="AQ130" s="50">
        <v>8624.3729999999996</v>
      </c>
      <c r="AR130" s="50">
        <v>7611.125</v>
      </c>
      <c r="AS130" s="50">
        <v>8561.1470000000008</v>
      </c>
      <c r="AT130" s="50">
        <v>7289.6440000000002</v>
      </c>
      <c r="AU130" s="50">
        <v>6850.3069999999998</v>
      </c>
      <c r="AV130" s="50">
        <v>7166.2780000000002</v>
      </c>
    </row>
    <row r="131" spans="1:48" ht="15" customHeight="1" x14ac:dyDescent="0.2">
      <c r="B131" s="26" t="s">
        <v>11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">
      <c r="B132" s="26" t="s">
        <v>147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">
      <c r="B133" s="26" t="s">
        <v>149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3"/>
    </row>
    <row r="134" spans="1:48" ht="15" customHeight="1" x14ac:dyDescent="0.2">
      <c r="B134" s="26" t="s">
        <v>148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">
      <c r="B135" s="26" t="s">
        <v>178</v>
      </c>
      <c r="C135" s="3">
        <v>-869.31</v>
      </c>
      <c r="D135" s="3">
        <v>-849.86099999999999</v>
      </c>
      <c r="E135" s="3">
        <v>-875.93</v>
      </c>
      <c r="F135" s="3" t="s">
        <v>6</v>
      </c>
      <c r="G135" s="3">
        <v>-818.38400000000001</v>
      </c>
      <c r="H135" s="3" t="s">
        <v>6</v>
      </c>
      <c r="I135" s="3">
        <v>-808.46900000000005</v>
      </c>
      <c r="J135" s="3" t="s">
        <v>6</v>
      </c>
      <c r="K135" s="3" t="s">
        <v>6</v>
      </c>
      <c r="L135" s="3" t="s">
        <v>6</v>
      </c>
      <c r="M135" s="3" t="s">
        <v>6</v>
      </c>
      <c r="N135" s="3" t="s">
        <v>6</v>
      </c>
      <c r="O135" s="3" t="s">
        <v>6</v>
      </c>
      <c r="P135" s="3" t="s">
        <v>6</v>
      </c>
      <c r="Q135" s="3" t="s">
        <v>6</v>
      </c>
      <c r="R135" s="3" t="s">
        <v>6</v>
      </c>
      <c r="S135" s="3" t="s">
        <v>6</v>
      </c>
      <c r="T135" s="3" t="s">
        <v>6</v>
      </c>
      <c r="U135" s="3" t="s">
        <v>6</v>
      </c>
      <c r="V135" s="3" t="s">
        <v>6</v>
      </c>
      <c r="W135" s="3" t="s">
        <v>6</v>
      </c>
      <c r="X135" s="3" t="s">
        <v>6</v>
      </c>
      <c r="Y135" s="3" t="s">
        <v>6</v>
      </c>
      <c r="Z135" s="3" t="s">
        <v>6</v>
      </c>
      <c r="AA135" s="3" t="s">
        <v>6</v>
      </c>
      <c r="AB135" s="3" t="s">
        <v>6</v>
      </c>
      <c r="AC135" s="3" t="s">
        <v>6</v>
      </c>
      <c r="AD135" s="3" t="s">
        <v>6</v>
      </c>
      <c r="AE135" s="3" t="s">
        <v>6</v>
      </c>
      <c r="AF135" s="3" t="s">
        <v>6</v>
      </c>
      <c r="AG135" s="3" t="s">
        <v>6</v>
      </c>
      <c r="AH135" s="3" t="s">
        <v>6</v>
      </c>
      <c r="AI135" s="3" t="s">
        <v>6</v>
      </c>
      <c r="AJ135" s="3" t="s">
        <v>6</v>
      </c>
      <c r="AK135" s="3" t="s">
        <v>6</v>
      </c>
      <c r="AL135" s="3" t="s">
        <v>6</v>
      </c>
      <c r="AM135" s="3" t="s">
        <v>6</v>
      </c>
      <c r="AN135" s="3" t="s">
        <v>6</v>
      </c>
      <c r="AO135" s="3" t="s">
        <v>6</v>
      </c>
      <c r="AP135" s="3" t="s">
        <v>6</v>
      </c>
      <c r="AQ135" s="3" t="s">
        <v>6</v>
      </c>
      <c r="AR135" s="3" t="s">
        <v>6</v>
      </c>
      <c r="AS135" s="3" t="s">
        <v>6</v>
      </c>
      <c r="AT135" s="3" t="s">
        <v>6</v>
      </c>
      <c r="AU135" s="3" t="s">
        <v>6</v>
      </c>
      <c r="AV135" s="3" t="s">
        <v>6</v>
      </c>
    </row>
    <row r="136" spans="1:48" ht="15" customHeight="1" x14ac:dyDescent="0.2">
      <c r="B136" s="49" t="s">
        <v>180</v>
      </c>
      <c r="C136" s="50">
        <f t="shared" ref="C136" si="214">+SUM(C131:C135)</f>
        <v>1404.9410000000003</v>
      </c>
      <c r="D136" s="50">
        <f t="shared" ref="D136" si="215">+SUM(D131:D135)</f>
        <v>1323.4720000000002</v>
      </c>
      <c r="E136" s="50">
        <f t="shared" ref="E136" si="216">+SUM(E131:E135)</f>
        <v>1382.547</v>
      </c>
      <c r="F136" s="50">
        <f t="shared" ref="F136" si="217">+SUM(F131:F135)</f>
        <v>2198.6190000000001</v>
      </c>
      <c r="G136" s="50">
        <f t="shared" ref="G136" si="218">+SUM(G131:G135)</f>
        <v>1412.627</v>
      </c>
      <c r="H136" s="50">
        <f t="shared" ref="H136" si="219">+SUM(H131:H135)</f>
        <v>1424.998</v>
      </c>
      <c r="I136" s="50">
        <f t="shared" ref="I136" si="220">+SUM(I131:I135)</f>
        <v>1544.835</v>
      </c>
      <c r="J136" s="50">
        <f t="shared" ref="J136" si="221">+SUM(J131:J135)</f>
        <v>1557.184</v>
      </c>
      <c r="K136" s="50">
        <f t="shared" ref="K136" si="222">+SUM(K131:K135)</f>
        <v>1563.184</v>
      </c>
      <c r="L136" s="50">
        <f t="shared" ref="L136" si="223">+SUM(L131:L135)</f>
        <v>1663.7249999999999</v>
      </c>
      <c r="M136" s="50">
        <f t="shared" ref="M136" si="224">+SUM(M131:M135)</f>
        <v>1728.473</v>
      </c>
      <c r="N136" s="50">
        <f t="shared" ref="N136" si="225">+SUM(N131:N135)</f>
        <v>1744.857</v>
      </c>
      <c r="O136" s="50">
        <f t="shared" ref="O136" si="226">+SUM(O131:O135)</f>
        <v>1823.4469999999999</v>
      </c>
      <c r="P136" s="50">
        <f t="shared" ref="P136" si="227">+SUM(P131:P135)</f>
        <v>1856.92</v>
      </c>
      <c r="Q136" s="50">
        <f t="shared" ref="Q136" si="228">+SUM(Q131:Q135)</f>
        <v>1963.44</v>
      </c>
      <c r="R136" s="50">
        <f t="shared" ref="R136" si="229">+SUM(R131:R135)</f>
        <v>1925.9690000000001</v>
      </c>
      <c r="S136" s="50">
        <f t="shared" ref="S136" si="230">+SUM(S131:S135)</f>
        <v>1966.5730000000001</v>
      </c>
      <c r="T136" s="50">
        <f t="shared" ref="T136" si="231">+SUM(T131:T135)</f>
        <v>2081.48</v>
      </c>
      <c r="U136" s="50">
        <f t="shared" ref="U136" si="232">+SUM(U131:U135)</f>
        <v>2223.8980000000001</v>
      </c>
      <c r="V136" s="50">
        <f t="shared" ref="V136" si="233">+SUM(V131:V135)</f>
        <v>1952.002</v>
      </c>
      <c r="W136" s="50">
        <f t="shared" ref="W136" si="234">+SUM(W131:W135)</f>
        <v>1964.1059999999998</v>
      </c>
      <c r="X136" s="50">
        <f t="shared" ref="X136" si="235">+SUM(X131:X135)</f>
        <v>1890.154</v>
      </c>
      <c r="Y136" s="50">
        <f t="shared" ref="Y136" si="236">+SUM(Y131:Y135)</f>
        <v>2048.7420000000002</v>
      </c>
      <c r="Z136" s="50">
        <f t="shared" ref="Z136" si="237">+SUM(Z131:Z135)</f>
        <v>2064.2830000000004</v>
      </c>
      <c r="AA136" s="50">
        <f t="shared" ref="AA136" si="238">+SUM(AA131:AA135)</f>
        <v>2158.9790000000003</v>
      </c>
      <c r="AB136" s="50">
        <f t="shared" ref="AB136" si="239">+SUM(AB131:AB135)</f>
        <v>1959.165</v>
      </c>
      <c r="AC136" s="50">
        <f t="shared" ref="AC136" si="240">+SUM(AC131:AC135)</f>
        <v>2035.1599999999999</v>
      </c>
      <c r="AD136" s="50">
        <f t="shared" ref="AD136" si="241">+SUM(AD131:AD135)</f>
        <v>2024.6509999999998</v>
      </c>
      <c r="AE136" s="50">
        <f t="shared" ref="AE136" si="242">+SUM(AE131:AE135)</f>
        <v>2081.0729999999999</v>
      </c>
      <c r="AF136" s="50">
        <f t="shared" ref="AF136" si="243">+SUM(AF131:AF135)</f>
        <v>2057.3580000000002</v>
      </c>
      <c r="AG136" s="50">
        <f t="shared" ref="AG136" si="244">+SUM(AG131:AG135)</f>
        <v>2139.2129999999997</v>
      </c>
      <c r="AH136" s="50">
        <f t="shared" ref="AH136" si="245">+SUM(AH131:AH135)</f>
        <v>2202.6080000000002</v>
      </c>
      <c r="AI136" s="50">
        <f t="shared" ref="AI136" si="246">+SUM(AI131:AI135)</f>
        <v>2192.1669999999999</v>
      </c>
      <c r="AJ136" s="50">
        <f t="shared" ref="AJ136" si="247">+SUM(AJ131:AJ135)</f>
        <v>2349.681</v>
      </c>
      <c r="AK136" s="50">
        <f t="shared" ref="AK136" si="248">+SUM(AK131:AK135)</f>
        <v>2385.8890000000001</v>
      </c>
      <c r="AL136" s="50">
        <f t="shared" ref="AL136" si="249">+SUM(AL131:AL135)</f>
        <v>2570.8490000000002</v>
      </c>
      <c r="AM136" s="50">
        <f t="shared" ref="AM136:AO136" si="250">+SUM(AM131:AM135)</f>
        <v>2692.4470000000001</v>
      </c>
      <c r="AN136" s="50">
        <f t="shared" si="250"/>
        <v>2975.7170000000001</v>
      </c>
      <c r="AO136" s="50">
        <f t="shared" si="250"/>
        <v>3008.806</v>
      </c>
      <c r="AP136" s="50">
        <v>3386.6559999999999</v>
      </c>
      <c r="AQ136" s="50">
        <v>4165.07</v>
      </c>
      <c r="AR136" s="50">
        <v>4367.5870000000004</v>
      </c>
      <c r="AS136" s="50">
        <v>4815.8990000000003</v>
      </c>
      <c r="AT136" s="50">
        <v>5125.3130000000001</v>
      </c>
      <c r="AU136" s="50">
        <v>5345.7089999999998</v>
      </c>
      <c r="AV136" s="50">
        <v>5428.68</v>
      </c>
    </row>
    <row r="137" spans="1:48" ht="15" customHeight="1" x14ac:dyDescent="0.2">
      <c r="B137" s="26" t="s">
        <v>11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">
      <c r="B138" s="26" t="s">
        <v>147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">
      <c r="B139" s="26" t="s">
        <v>149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6</v>
      </c>
      <c r="U139" s="3" t="s">
        <v>6</v>
      </c>
      <c r="V139" s="3" t="s">
        <v>6</v>
      </c>
      <c r="W139" s="3" t="s">
        <v>6</v>
      </c>
      <c r="X139" s="3" t="s">
        <v>6</v>
      </c>
      <c r="Y139" s="3" t="s">
        <v>6</v>
      </c>
      <c r="Z139" s="3" t="s">
        <v>6</v>
      </c>
      <c r="AA139" s="3" t="s">
        <v>6</v>
      </c>
      <c r="AB139" s="3" t="s">
        <v>6</v>
      </c>
      <c r="AC139" s="3" t="s">
        <v>6</v>
      </c>
      <c r="AD139" s="3" t="s">
        <v>6</v>
      </c>
      <c r="AE139" s="3" t="s">
        <v>6</v>
      </c>
      <c r="AF139" s="3" t="s">
        <v>6</v>
      </c>
      <c r="AG139" s="3" t="s">
        <v>6</v>
      </c>
      <c r="AH139" s="3" t="s">
        <v>6</v>
      </c>
      <c r="AI139" s="3" t="s">
        <v>6</v>
      </c>
      <c r="AJ139" s="3" t="s">
        <v>6</v>
      </c>
      <c r="AK139" s="3" t="s">
        <v>6</v>
      </c>
      <c r="AL139" s="3" t="s">
        <v>6</v>
      </c>
      <c r="AM139" s="3" t="s">
        <v>6</v>
      </c>
      <c r="AN139" s="3" t="s">
        <v>6</v>
      </c>
      <c r="AO139" s="3" t="s">
        <v>6</v>
      </c>
      <c r="AP139" s="3" t="s">
        <v>6</v>
      </c>
      <c r="AQ139" s="3" t="s">
        <v>6</v>
      </c>
      <c r="AR139" s="3" t="s">
        <v>6</v>
      </c>
      <c r="AS139" s="3" t="s">
        <v>6</v>
      </c>
      <c r="AT139" s="3" t="s">
        <v>6</v>
      </c>
      <c r="AU139" s="3" t="s">
        <v>6</v>
      </c>
      <c r="AV139" s="93"/>
    </row>
    <row r="140" spans="1:48" ht="15" customHeight="1" x14ac:dyDescent="0.2">
      <c r="B140" s="26" t="s">
        <v>148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">
      <c r="A141" s="63" t="s">
        <v>79</v>
      </c>
      <c r="B141" s="49" t="s">
        <v>181</v>
      </c>
      <c r="C141" s="50">
        <f t="shared" ref="C141" si="251">+SUM(C137:C140)</f>
        <v>16.114000000000001</v>
      </c>
      <c r="D141" s="50">
        <f t="shared" ref="D141" si="252">+SUM(D137:D140)</f>
        <v>19.251000000000001</v>
      </c>
      <c r="E141" s="50">
        <f t="shared" ref="E141" si="253">+SUM(E137:E140)</f>
        <v>20.942</v>
      </c>
      <c r="F141" s="50">
        <f t="shared" ref="F141" si="254">+SUM(F137:F140)</f>
        <v>19.251999999999999</v>
      </c>
      <c r="G141" s="50">
        <f t="shared" ref="G141" si="255">+SUM(G137:G140)</f>
        <v>18.676999999999996</v>
      </c>
      <c r="H141" s="50">
        <f t="shared" ref="H141:I141" si="256">+SUM(H137:H140)</f>
        <v>18.91</v>
      </c>
      <c r="I141" s="50">
        <f t="shared" si="256"/>
        <v>19.051000000000002</v>
      </c>
      <c r="J141" s="50">
        <f t="shared" ref="J141:L141" si="257">+SUM(J137:J140)</f>
        <v>19.448</v>
      </c>
      <c r="K141" s="50">
        <f t="shared" si="257"/>
        <v>18.25</v>
      </c>
      <c r="L141" s="50">
        <f t="shared" si="257"/>
        <v>18.954000000000001</v>
      </c>
      <c r="M141" s="50">
        <f t="shared" ref="M141" si="258">+SUM(M137:M140)</f>
        <v>18.64</v>
      </c>
      <c r="N141" s="50">
        <f t="shared" ref="N141" si="259">+SUM(N137:N140)</f>
        <v>19.588999999999999</v>
      </c>
      <c r="O141" s="50">
        <f t="shared" ref="O141:P141" si="260">+SUM(O137:O140)</f>
        <v>21.604999999999997</v>
      </c>
      <c r="P141" s="50">
        <f t="shared" si="260"/>
        <v>30.686000000000003</v>
      </c>
      <c r="Q141" s="50">
        <f t="shared" ref="Q141:T141" si="261">+SUM(Q137:Q140)</f>
        <v>28.838000000000005</v>
      </c>
      <c r="R141" s="50">
        <f t="shared" si="261"/>
        <v>30.431000000000001</v>
      </c>
      <c r="S141" s="50">
        <f t="shared" si="261"/>
        <v>28.907</v>
      </c>
      <c r="T141" s="50">
        <f t="shared" si="261"/>
        <v>29.785</v>
      </c>
      <c r="U141" s="50">
        <f t="shared" ref="U141:X141" si="262">+SUM(U137:U140)</f>
        <v>26.590000000000003</v>
      </c>
      <c r="V141" s="50">
        <f t="shared" si="262"/>
        <v>28.666999999999998</v>
      </c>
      <c r="W141" s="50">
        <f t="shared" si="262"/>
        <v>30.430000000000003</v>
      </c>
      <c r="X141" s="50">
        <f t="shared" si="262"/>
        <v>32.042999999999999</v>
      </c>
      <c r="Y141" s="50">
        <f t="shared" ref="Y141:AB141" si="263">+SUM(Y137:Y140)</f>
        <v>32.943000000000005</v>
      </c>
      <c r="Z141" s="50">
        <f t="shared" si="263"/>
        <v>31.885999999999999</v>
      </c>
      <c r="AA141" s="50">
        <f t="shared" si="263"/>
        <v>34.175000000000004</v>
      </c>
      <c r="AB141" s="50">
        <f t="shared" si="263"/>
        <v>36.899000000000001</v>
      </c>
      <c r="AC141" s="50">
        <f t="shared" ref="AC141:AQ141" si="264">+SUM(AC137:AC140)</f>
        <v>32.203999999999994</v>
      </c>
      <c r="AD141" s="50">
        <f t="shared" si="264"/>
        <v>34.463999999999999</v>
      </c>
      <c r="AE141" s="50">
        <f t="shared" si="264"/>
        <v>39.007000000000005</v>
      </c>
      <c r="AF141" s="50">
        <f t="shared" si="264"/>
        <v>27.777000000000001</v>
      </c>
      <c r="AG141" s="50">
        <f t="shared" si="264"/>
        <v>28.984999999999999</v>
      </c>
      <c r="AH141" s="50">
        <f t="shared" si="264"/>
        <v>24.945999999999998</v>
      </c>
      <c r="AI141" s="50">
        <f t="shared" si="264"/>
        <v>26.146000000000001</v>
      </c>
      <c r="AJ141" s="50">
        <f t="shared" si="264"/>
        <v>29.87</v>
      </c>
      <c r="AK141" s="50">
        <f t="shared" si="264"/>
        <v>30.657</v>
      </c>
      <c r="AL141" s="50">
        <f t="shared" si="264"/>
        <v>30.407</v>
      </c>
      <c r="AM141" s="50">
        <f t="shared" si="264"/>
        <v>30.972000000000005</v>
      </c>
      <c r="AN141" s="50">
        <f t="shared" si="264"/>
        <v>32.597000000000001</v>
      </c>
      <c r="AO141" s="50">
        <f t="shared" si="264"/>
        <v>42.131999999999998</v>
      </c>
      <c r="AP141" s="50">
        <f t="shared" si="264"/>
        <v>47.395999999999994</v>
      </c>
      <c r="AQ141" s="50">
        <f t="shared" si="264"/>
        <v>58.472000000000001</v>
      </c>
      <c r="AR141" s="50">
        <v>56.808</v>
      </c>
      <c r="AS141" s="50">
        <v>58.322000000000003</v>
      </c>
      <c r="AT141" s="50">
        <v>45.713000000000001</v>
      </c>
      <c r="AU141" s="50">
        <v>45.491999999999997</v>
      </c>
      <c r="AV141" s="50">
        <v>68.19</v>
      </c>
    </row>
    <row r="144" spans="1:48" ht="20.100000000000001" customHeight="1" x14ac:dyDescent="0.2">
      <c r="B144" s="34" t="s">
        <v>153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1:48" x14ac:dyDescent="0.2">
      <c r="B145" s="36" t="s">
        <v>132</v>
      </c>
      <c r="C145" s="37" t="s">
        <v>84</v>
      </c>
      <c r="D145" s="37">
        <v>2008</v>
      </c>
      <c r="E145" s="37" t="s">
        <v>85</v>
      </c>
      <c r="F145" s="37" t="s">
        <v>86</v>
      </c>
      <c r="G145" s="37" t="s">
        <v>87</v>
      </c>
      <c r="H145" s="37">
        <v>2009</v>
      </c>
      <c r="I145" s="37" t="s">
        <v>88</v>
      </c>
      <c r="J145" s="37" t="s">
        <v>89</v>
      </c>
      <c r="K145" s="37" t="s">
        <v>90</v>
      </c>
      <c r="L145" s="37">
        <v>2010</v>
      </c>
      <c r="M145" s="37" t="s">
        <v>91</v>
      </c>
      <c r="N145" s="37" t="s">
        <v>92</v>
      </c>
      <c r="O145" s="37" t="s">
        <v>93</v>
      </c>
      <c r="P145" s="37">
        <v>2011</v>
      </c>
      <c r="Q145" s="37" t="s">
        <v>94</v>
      </c>
      <c r="R145" s="37" t="s">
        <v>95</v>
      </c>
      <c r="S145" s="37" t="s">
        <v>96</v>
      </c>
      <c r="T145" s="37">
        <v>2012</v>
      </c>
      <c r="U145" s="37" t="s">
        <v>97</v>
      </c>
      <c r="V145" s="37" t="s">
        <v>98</v>
      </c>
      <c r="W145" s="37" t="s">
        <v>99</v>
      </c>
      <c r="X145" s="37">
        <v>2013</v>
      </c>
      <c r="Y145" s="37" t="s">
        <v>100</v>
      </c>
      <c r="Z145" s="37" t="s">
        <v>101</v>
      </c>
      <c r="AA145" s="37" t="s">
        <v>102</v>
      </c>
      <c r="AB145" s="37">
        <v>2014</v>
      </c>
      <c r="AC145" s="37" t="s">
        <v>103</v>
      </c>
      <c r="AD145" s="37" t="s">
        <v>104</v>
      </c>
      <c r="AE145" s="37" t="s">
        <v>105</v>
      </c>
      <c r="AF145" s="37">
        <v>2015</v>
      </c>
      <c r="AG145" s="37" t="s">
        <v>106</v>
      </c>
      <c r="AH145" s="37" t="s">
        <v>107</v>
      </c>
      <c r="AI145" s="37" t="s">
        <v>108</v>
      </c>
      <c r="AJ145" s="37">
        <v>2016</v>
      </c>
      <c r="AK145" s="37" t="s">
        <v>109</v>
      </c>
      <c r="AL145" s="37" t="s">
        <v>110</v>
      </c>
      <c r="AM145" s="37" t="s">
        <v>111</v>
      </c>
      <c r="AN145" s="37">
        <v>2017</v>
      </c>
      <c r="AO145" s="37" t="s">
        <v>112</v>
      </c>
      <c r="AP145" s="37" t="s">
        <v>113</v>
      </c>
      <c r="AQ145" s="37" t="s">
        <v>114</v>
      </c>
      <c r="AR145" s="37">
        <v>2018</v>
      </c>
      <c r="AS145" s="37" t="s">
        <v>187</v>
      </c>
      <c r="AT145" s="37" t="s">
        <v>190</v>
      </c>
      <c r="AU145" s="37" t="s">
        <v>192</v>
      </c>
      <c r="AV145" s="37">
        <v>2019</v>
      </c>
    </row>
    <row r="146" spans="1:48" ht="15" customHeight="1" x14ac:dyDescent="0.2">
      <c r="B146" s="48" t="s">
        <v>127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13">
        <v>981.68899999999996</v>
      </c>
      <c r="AR146" s="13">
        <v>1401.527</v>
      </c>
      <c r="AS146" s="13">
        <v>780.90499999999997</v>
      </c>
      <c r="AT146" s="13">
        <v>1179.3610000000001</v>
      </c>
      <c r="AU146" s="13">
        <v>1436.3489999999999</v>
      </c>
      <c r="AV146" s="13">
        <v>1414.8589999999999</v>
      </c>
    </row>
    <row r="147" spans="1:48" ht="15" customHeight="1" x14ac:dyDescent="0.2">
      <c r="B147" s="26" t="s">
        <v>154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13">
        <v>330.48399999999998</v>
      </c>
      <c r="AR147" s="13">
        <v>449.76299999999998</v>
      </c>
      <c r="AS147" s="13">
        <v>203.56899999999999</v>
      </c>
      <c r="AT147" s="13">
        <v>400.375</v>
      </c>
      <c r="AU147" s="13">
        <v>600.23</v>
      </c>
      <c r="AV147" s="13">
        <v>772.61900000000003</v>
      </c>
    </row>
    <row r="148" spans="1:48" ht="15" customHeight="1" x14ac:dyDescent="0.2">
      <c r="B148" s="26" t="s">
        <v>155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13">
        <v>912.95600000000002</v>
      </c>
      <c r="AR148" s="13">
        <v>576.19100000000003</v>
      </c>
      <c r="AS148" s="13">
        <v>-564.49</v>
      </c>
      <c r="AT148" s="13">
        <v>-685.13800000000003</v>
      </c>
      <c r="AU148" s="13">
        <v>-1155.952</v>
      </c>
      <c r="AV148" s="13">
        <v>-1059.8340000000001</v>
      </c>
    </row>
    <row r="149" spans="1:48" ht="15" customHeight="1" x14ac:dyDescent="0.2">
      <c r="B149" s="6" t="s">
        <v>156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">
      <c r="B150" s="26" t="s">
        <v>151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13">
        <f>-177.689+ 3.518</f>
        <v>-174.17099999999999</v>
      </c>
      <c r="AR150" s="13">
        <f>-261.165+4.888</f>
        <v>-256.27700000000004</v>
      </c>
      <c r="AS150" s="13">
        <f>-58.59+1.488</f>
        <v>-57.102000000000004</v>
      </c>
      <c r="AT150" s="13">
        <f>-114.506+4.783</f>
        <v>-109.723</v>
      </c>
      <c r="AU150" s="13">
        <f>-162.205+5.547</f>
        <v>-156.65800000000002</v>
      </c>
      <c r="AV150" s="13">
        <f>-(285.51)+49.462</f>
        <v>-236.048</v>
      </c>
    </row>
    <row r="151" spans="1:48" ht="15" customHeight="1" x14ac:dyDescent="0.2">
      <c r="B151" s="26" t="s">
        <v>157</v>
      </c>
      <c r="C151" s="46">
        <v>-1.704</v>
      </c>
      <c r="D151" s="46">
        <v>2.8650000000000002</v>
      </c>
      <c r="E151" s="46">
        <v>-35.869999999999997</v>
      </c>
      <c r="F151" s="46">
        <v>-33.741999999999997</v>
      </c>
      <c r="G151" s="46">
        <v>-38.725000000000001</v>
      </c>
      <c r="H151" s="46">
        <v>-33.396000000000001</v>
      </c>
      <c r="I151" s="46">
        <v>-1.544</v>
      </c>
      <c r="J151" s="46">
        <v>2.6360000000000001</v>
      </c>
      <c r="K151" s="46">
        <v>2.617</v>
      </c>
      <c r="L151" s="46">
        <v>3.6960000000000002</v>
      </c>
      <c r="M151" s="46">
        <v>0.223</v>
      </c>
      <c r="N151" s="46">
        <v>-43.100999999999999</v>
      </c>
      <c r="O151" s="46">
        <v>-42.978999999999999</v>
      </c>
      <c r="P151" s="46">
        <v>-42.975000000000001</v>
      </c>
      <c r="Q151" s="46">
        <v>-2.3119999999999998</v>
      </c>
      <c r="R151" s="46">
        <v>1.919</v>
      </c>
      <c r="S151" s="46">
        <v>2.0169999999999999</v>
      </c>
      <c r="T151" s="46">
        <v>329.995</v>
      </c>
      <c r="U151" s="46">
        <v>-26.512</v>
      </c>
      <c r="V151" s="46">
        <v>-15.409000000000001</v>
      </c>
      <c r="W151" s="46">
        <v>-33.633000000000003</v>
      </c>
      <c r="X151" s="46">
        <v>-28.492999999999999</v>
      </c>
      <c r="Y151" s="46">
        <v>21.597999999999999</v>
      </c>
      <c r="Z151" s="46">
        <v>45.375999999999998</v>
      </c>
      <c r="AA151" s="46">
        <v>36.170999999999999</v>
      </c>
      <c r="AB151" s="46">
        <v>75.912000000000006</v>
      </c>
      <c r="AC151" s="46">
        <v>7.258</v>
      </c>
      <c r="AD151" s="46">
        <v>15.38</v>
      </c>
      <c r="AE151" s="46">
        <v>18.773</v>
      </c>
      <c r="AF151" s="46">
        <v>20.225000000000001</v>
      </c>
      <c r="AG151" s="46">
        <v>9.7010000000000005</v>
      </c>
      <c r="AH151" s="46">
        <v>-26.376000000000001</v>
      </c>
      <c r="AI151" s="46">
        <v>20.206</v>
      </c>
      <c r="AJ151" s="46">
        <v>-12.662000000000001</v>
      </c>
      <c r="AK151" s="46">
        <v>-7.37</v>
      </c>
      <c r="AL151" s="46">
        <v>-16.071999999999999</v>
      </c>
      <c r="AM151" s="46">
        <v>59.192999999999998</v>
      </c>
      <c r="AN151" s="46">
        <v>114.39400000000001</v>
      </c>
      <c r="AO151" s="46">
        <v>-54.43</v>
      </c>
      <c r="AP151" s="46">
        <v>7.87</v>
      </c>
      <c r="AQ151" s="46">
        <v>-114.83600000000001</v>
      </c>
      <c r="AR151" s="46">
        <v>-65.687999000000005</v>
      </c>
      <c r="AS151" s="46">
        <v>-12.179000000000002</v>
      </c>
      <c r="AT151" s="46">
        <v>-116.337</v>
      </c>
      <c r="AU151" s="87">
        <v>-112.77799999999996</v>
      </c>
      <c r="AV151" s="87">
        <v>-157.03300000000002</v>
      </c>
    </row>
    <row r="152" spans="1:48" ht="15" customHeight="1" x14ac:dyDescent="0.2">
      <c r="B152" s="6" t="s">
        <v>158</v>
      </c>
      <c r="C152" s="51">
        <v>-65.256</v>
      </c>
      <c r="D152" s="51">
        <v>-37.877000000000002</v>
      </c>
      <c r="E152" s="51">
        <v>-40.003999999999998</v>
      </c>
      <c r="F152" s="51">
        <v>-42.542000000000002</v>
      </c>
      <c r="G152" s="51">
        <v>-64.647000000000006</v>
      </c>
      <c r="H152" s="51">
        <v>-73.635999999999996</v>
      </c>
      <c r="I152" s="51">
        <v>-20.741</v>
      </c>
      <c r="J152" s="51">
        <v>-25.114000000000001</v>
      </c>
      <c r="K152" s="51">
        <v>-26.794</v>
      </c>
      <c r="L152" s="51">
        <v>-32.911000000000001</v>
      </c>
      <c r="M152" s="51">
        <v>-5.7450000000000001</v>
      </c>
      <c r="N152" s="51">
        <v>-59.369</v>
      </c>
      <c r="O152" s="51">
        <v>-90.811999999999998</v>
      </c>
      <c r="P152" s="51">
        <v>-107.553</v>
      </c>
      <c r="Q152" s="51">
        <v>-29.687999999999999</v>
      </c>
      <c r="R152" s="51">
        <v>-49.101999999999997</v>
      </c>
      <c r="S152" s="51">
        <v>-66.004000000000005</v>
      </c>
      <c r="T152" s="51">
        <v>238.93799999999999</v>
      </c>
      <c r="U152" s="51">
        <v>-37.826000000000001</v>
      </c>
      <c r="V152" s="51">
        <v>-63.084000000000003</v>
      </c>
      <c r="W152" s="51">
        <v>-118.13800000000001</v>
      </c>
      <c r="X152" s="51">
        <v>-185.495</v>
      </c>
      <c r="Y152" s="51">
        <v>-63.482999999999997</v>
      </c>
      <c r="Z152" s="51">
        <v>-170.517</v>
      </c>
      <c r="AA152" s="51">
        <v>-267.35399999999998</v>
      </c>
      <c r="AB152" s="51">
        <v>-305.96199999999999</v>
      </c>
      <c r="AC152" s="51">
        <v>-62.347999999999999</v>
      </c>
      <c r="AD152" s="51">
        <v>-108.15300000000001</v>
      </c>
      <c r="AE152" s="51">
        <v>-168.68199999999999</v>
      </c>
      <c r="AF152" s="51">
        <v>-200.87899999999999</v>
      </c>
      <c r="AG152" s="51">
        <v>-25.798999999999999</v>
      </c>
      <c r="AH152" s="51">
        <v>-103.57599999999999</v>
      </c>
      <c r="AI152" s="51">
        <v>-75.316999999999993</v>
      </c>
      <c r="AJ152" s="51">
        <v>-163.65100000000001</v>
      </c>
      <c r="AK152" s="51">
        <v>-26.504999999999999</v>
      </c>
      <c r="AL152" s="51">
        <v>-91.558999999999997</v>
      </c>
      <c r="AM152" s="51">
        <v>-41.398000000000003</v>
      </c>
      <c r="AN152" s="51">
        <v>-84.891999999999996</v>
      </c>
      <c r="AO152" s="51">
        <v>-91.227000000000004</v>
      </c>
      <c r="AP152" s="51">
        <v>-68.257999999999996</v>
      </c>
      <c r="AQ152" s="51">
        <v>-289.00700000000001</v>
      </c>
      <c r="AR152" s="51">
        <v>-321.96499999999997</v>
      </c>
      <c r="AS152" s="51">
        <v>-69.281000000000006</v>
      </c>
      <c r="AT152" s="51">
        <v>-226.06</v>
      </c>
      <c r="AU152" s="51">
        <v>-269.43599999999998</v>
      </c>
      <c r="AV152" s="51">
        <v>-393.08100000000002</v>
      </c>
    </row>
    <row r="153" spans="1:48" ht="15" customHeight="1" x14ac:dyDescent="0.2">
      <c r="B153" s="80" t="s">
        <v>182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13">
        <f>-890.619+529.863</f>
        <v>-360.75599999999997</v>
      </c>
      <c r="AR153" s="13">
        <f>-1101.514+698.987</f>
        <v>-402.52699999999993</v>
      </c>
      <c r="AS153" s="13">
        <f>144.453-(513.131)</f>
        <v>-368.678</v>
      </c>
      <c r="AT153" s="13">
        <v>328.66</v>
      </c>
      <c r="AU153" s="13">
        <f>386.034-(928.728)</f>
        <v>-542.69399999999996</v>
      </c>
      <c r="AV153" s="13">
        <f>-1307.551+865.11</f>
        <v>-442.44099999999992</v>
      </c>
    </row>
    <row r="154" spans="1:48" ht="15" customHeight="1" x14ac:dyDescent="0.2">
      <c r="B154" s="26" t="s">
        <v>159</v>
      </c>
      <c r="C154" s="46">
        <v>-19.734000000000002</v>
      </c>
      <c r="D154" s="46">
        <v>-19.734000000000002</v>
      </c>
      <c r="E154" s="46">
        <v>0</v>
      </c>
      <c r="F154" s="46">
        <v>-1.6579999999999999</v>
      </c>
      <c r="G154" s="46">
        <v>-1.6579999999999999</v>
      </c>
      <c r="H154" s="46">
        <v>-1.6579999999999999</v>
      </c>
      <c r="I154" s="46">
        <v>0</v>
      </c>
      <c r="J154" s="46">
        <v>-19.309999999999999</v>
      </c>
      <c r="K154" s="46">
        <v>-19.309999999999999</v>
      </c>
      <c r="L154" s="46">
        <v>-19.309999999999999</v>
      </c>
      <c r="M154" s="46">
        <v>0</v>
      </c>
      <c r="N154" s="46">
        <v>-56.607999999999997</v>
      </c>
      <c r="O154" s="46">
        <v>-56.607999999999997</v>
      </c>
      <c r="P154" s="46">
        <v>-56.607999999999997</v>
      </c>
      <c r="Q154" s="46">
        <v>0</v>
      </c>
      <c r="R154" s="46">
        <v>0</v>
      </c>
      <c r="S154" s="46">
        <v>-75.046999999999997</v>
      </c>
      <c r="T154" s="46">
        <v>-75.046999999999997</v>
      </c>
      <c r="U154" s="46">
        <v>0</v>
      </c>
      <c r="V154" s="46">
        <v>-138.27500000000001</v>
      </c>
      <c r="W154" s="46">
        <v>-138.27500000000001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-41.048999999999999</v>
      </c>
      <c r="AE154" s="46">
        <v>-41.048999999999999</v>
      </c>
      <c r="AF154" s="46">
        <v>-41.048999999999999</v>
      </c>
      <c r="AG154" s="46">
        <v>0</v>
      </c>
      <c r="AH154" s="46">
        <v>-63.665999999999997</v>
      </c>
      <c r="AI154" s="46">
        <v>-63.665999999999997</v>
      </c>
      <c r="AJ154" s="46">
        <v>-63.665999999999997</v>
      </c>
      <c r="AK154" s="46">
        <v>-120.292</v>
      </c>
      <c r="AL154" s="46">
        <v>-120.292</v>
      </c>
      <c r="AM154" s="46">
        <v>-120.292</v>
      </c>
      <c r="AN154" s="46">
        <v>-120.292</v>
      </c>
      <c r="AO154" s="46" t="s">
        <v>6</v>
      </c>
      <c r="AP154" s="46">
        <v>-248.69300000000001</v>
      </c>
      <c r="AQ154" s="46">
        <v>-248.69300000000001</v>
      </c>
      <c r="AR154" s="46">
        <v>-248.69300000000001</v>
      </c>
      <c r="AS154" s="46" t="s">
        <v>6</v>
      </c>
      <c r="AT154" s="13">
        <v>-450.97199999999998</v>
      </c>
      <c r="AU154" s="13">
        <v>-450.97199999999998</v>
      </c>
      <c r="AV154" s="13">
        <v>-450.97199999999998</v>
      </c>
    </row>
    <row r="155" spans="1:48" ht="15" customHeight="1" x14ac:dyDescent="0.2">
      <c r="B155" s="6" t="s">
        <v>160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">
      <c r="A156" s="63" t="s">
        <v>79</v>
      </c>
      <c r="B156" s="49" t="s">
        <v>161</v>
      </c>
      <c r="C156" s="50">
        <v>-85.016999999999996</v>
      </c>
      <c r="D156" s="50">
        <v>-103.375</v>
      </c>
      <c r="E156" s="50">
        <v>-49.957000000000001</v>
      </c>
      <c r="F156" s="50">
        <v>22.172999999999998</v>
      </c>
      <c r="G156" s="50">
        <v>41.250999999999998</v>
      </c>
      <c r="H156" s="50">
        <v>52.94</v>
      </c>
      <c r="I156" s="50">
        <v>87.917000000000002</v>
      </c>
      <c r="J156" s="50">
        <v>60.058</v>
      </c>
      <c r="K156" s="50">
        <v>2.68</v>
      </c>
      <c r="L156" s="50">
        <v>195.79400000000001</v>
      </c>
      <c r="M156" s="50">
        <v>85.003</v>
      </c>
      <c r="N156" s="50">
        <v>1.4159999999999999</v>
      </c>
      <c r="O156" s="50">
        <v>-59.002000000000002</v>
      </c>
      <c r="P156" s="50">
        <v>26.204999999999998</v>
      </c>
      <c r="Q156" s="50">
        <v>57.430999999999997</v>
      </c>
      <c r="R156" s="50">
        <v>65.061999999999998</v>
      </c>
      <c r="S156" s="50">
        <v>-97.438000000000002</v>
      </c>
      <c r="T156" s="50">
        <v>294.56299999999999</v>
      </c>
      <c r="U156" s="50">
        <v>122.544</v>
      </c>
      <c r="V156" s="50">
        <v>-109.919</v>
      </c>
      <c r="W156" s="50">
        <v>-208.01</v>
      </c>
      <c r="X156" s="50">
        <v>-8.6080000000000005</v>
      </c>
      <c r="Y156" s="50">
        <v>274.40800000000002</v>
      </c>
      <c r="Z156" s="50">
        <v>54.465000000000003</v>
      </c>
      <c r="AA156" s="50">
        <v>-113.087</v>
      </c>
      <c r="AB156" s="50">
        <v>-7.7039999999999997</v>
      </c>
      <c r="AC156" s="50">
        <v>198.57599999999999</v>
      </c>
      <c r="AD156" s="50">
        <v>149.57400000000001</v>
      </c>
      <c r="AE156" s="50">
        <v>107.688</v>
      </c>
      <c r="AF156" s="50">
        <v>-15.247</v>
      </c>
      <c r="AG156" s="50">
        <v>195.7</v>
      </c>
      <c r="AH156" s="50">
        <v>202.85300000000001</v>
      </c>
      <c r="AI156" s="50">
        <v>149.70400000000001</v>
      </c>
      <c r="AJ156" s="50">
        <v>451.22699999999998</v>
      </c>
      <c r="AK156" s="50">
        <v>1617.8420000000001</v>
      </c>
      <c r="AL156" s="50">
        <v>1467.297</v>
      </c>
      <c r="AM156" s="50">
        <v>1347.2170000000001</v>
      </c>
      <c r="AN156" s="50">
        <v>1502.404</v>
      </c>
      <c r="AO156" s="50">
        <v>774.78399999999999</v>
      </c>
      <c r="AP156" s="50">
        <v>751.72199999999998</v>
      </c>
      <c r="AQ156" s="50">
        <v>1739.769</v>
      </c>
      <c r="AR156" s="50">
        <v>1595.7670000000001</v>
      </c>
      <c r="AS156" s="50">
        <v>-61.174999999999997</v>
      </c>
      <c r="AT156" s="50">
        <v>-289.35000000000002</v>
      </c>
      <c r="AU156" s="50">
        <v>-604.57399999999996</v>
      </c>
      <c r="AV156" s="50">
        <v>-486.97500000000002</v>
      </c>
    </row>
    <row r="159" spans="1:48" ht="20.100000000000001" customHeight="1" x14ac:dyDescent="0.2">
      <c r="B159" s="34" t="s">
        <v>183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x14ac:dyDescent="0.2">
      <c r="B160" s="36" t="s">
        <v>132</v>
      </c>
      <c r="C160" s="37" t="s">
        <v>84</v>
      </c>
      <c r="D160" s="37">
        <v>2008</v>
      </c>
      <c r="E160" s="37" t="s">
        <v>85</v>
      </c>
      <c r="F160" s="37" t="s">
        <v>86</v>
      </c>
      <c r="G160" s="37" t="s">
        <v>87</v>
      </c>
      <c r="H160" s="37">
        <v>2009</v>
      </c>
      <c r="I160" s="37" t="s">
        <v>88</v>
      </c>
      <c r="J160" s="37" t="s">
        <v>89</v>
      </c>
      <c r="K160" s="37" t="s">
        <v>90</v>
      </c>
      <c r="L160" s="37">
        <v>2010</v>
      </c>
      <c r="M160" s="37" t="s">
        <v>91</v>
      </c>
      <c r="N160" s="37" t="s">
        <v>92</v>
      </c>
      <c r="O160" s="37" t="s">
        <v>93</v>
      </c>
      <c r="P160" s="37">
        <v>2011</v>
      </c>
      <c r="Q160" s="37" t="s">
        <v>94</v>
      </c>
      <c r="R160" s="37" t="s">
        <v>95</v>
      </c>
      <c r="S160" s="37" t="s">
        <v>96</v>
      </c>
      <c r="T160" s="37">
        <v>2012</v>
      </c>
      <c r="U160" s="37" t="s">
        <v>97</v>
      </c>
      <c r="V160" s="37" t="s">
        <v>98</v>
      </c>
      <c r="W160" s="37" t="s">
        <v>99</v>
      </c>
      <c r="X160" s="37">
        <v>2013</v>
      </c>
      <c r="Y160" s="37" t="s">
        <v>100</v>
      </c>
      <c r="Z160" s="37" t="s">
        <v>101</v>
      </c>
      <c r="AA160" s="37" t="s">
        <v>102</v>
      </c>
      <c r="AB160" s="37">
        <v>2014</v>
      </c>
      <c r="AC160" s="37" t="s">
        <v>103</v>
      </c>
      <c r="AD160" s="37" t="s">
        <v>104</v>
      </c>
      <c r="AE160" s="37" t="s">
        <v>105</v>
      </c>
      <c r="AF160" s="37">
        <v>2015</v>
      </c>
      <c r="AG160" s="37" t="s">
        <v>106</v>
      </c>
      <c r="AH160" s="37" t="s">
        <v>107</v>
      </c>
      <c r="AI160" s="37" t="s">
        <v>108</v>
      </c>
      <c r="AJ160" s="37">
        <v>2016</v>
      </c>
      <c r="AK160" s="37" t="s">
        <v>109</v>
      </c>
      <c r="AL160" s="37" t="s">
        <v>110</v>
      </c>
      <c r="AM160" s="37" t="s">
        <v>111</v>
      </c>
      <c r="AN160" s="37">
        <v>2017</v>
      </c>
      <c r="AO160" s="37" t="s">
        <v>112</v>
      </c>
      <c r="AP160" s="37" t="s">
        <v>113</v>
      </c>
      <c r="AQ160" s="37" t="s">
        <v>114</v>
      </c>
      <c r="AR160" s="37">
        <v>2018</v>
      </c>
      <c r="AS160" s="37" t="s">
        <v>187</v>
      </c>
      <c r="AT160" s="37" t="s">
        <v>190</v>
      </c>
      <c r="AU160" s="37" t="s">
        <v>192</v>
      </c>
      <c r="AV160" s="37">
        <v>2019</v>
      </c>
    </row>
    <row r="161" spans="1:48" ht="15" customHeight="1" x14ac:dyDescent="0.2">
      <c r="B161" s="26" t="s">
        <v>11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13">
        <v>132.25200000000001</v>
      </c>
      <c r="AR161" s="71">
        <v>186.54400000000001</v>
      </c>
      <c r="AS161" s="13">
        <v>32.511000000000003</v>
      </c>
      <c r="AT161" s="13">
        <v>51.883000000000003</v>
      </c>
      <c r="AU161" s="13">
        <v>64.004999999999995</v>
      </c>
      <c r="AV161" s="13">
        <v>107.72</v>
      </c>
    </row>
    <row r="162" spans="1:48" ht="15" customHeight="1" x14ac:dyDescent="0.2">
      <c r="B162" s="26" t="s">
        <v>147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13">
        <v>43.593000000000004</v>
      </c>
      <c r="AR162" s="71">
        <v>71.542000000000002</v>
      </c>
      <c r="AS162" s="13">
        <v>24.629000000000001</v>
      </c>
      <c r="AT162" s="13">
        <v>54.298999999999999</v>
      </c>
      <c r="AU162" s="13">
        <v>88.171000000000006</v>
      </c>
      <c r="AV162" s="13">
        <v>166.96700000000001</v>
      </c>
    </row>
    <row r="163" spans="1:48" ht="15" customHeight="1" x14ac:dyDescent="0.2">
      <c r="B163" s="26" t="s">
        <v>149</v>
      </c>
      <c r="C163" s="13">
        <v>8.8260000000000005</v>
      </c>
      <c r="D163" s="13">
        <v>15.773999999999999</v>
      </c>
      <c r="E163" s="74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13">
        <v>0.54</v>
      </c>
      <c r="AR163" s="71">
        <v>0.55100000000000005</v>
      </c>
      <c r="AS163" s="13">
        <v>4.4999999999999998E-2</v>
      </c>
      <c r="AT163" s="13">
        <v>4.8000000000000001E-2</v>
      </c>
      <c r="AU163" s="13">
        <v>5.2999999999999999E-2</v>
      </c>
      <c r="AV163" s="93"/>
    </row>
    <row r="164" spans="1:48" ht="15" customHeight="1" x14ac:dyDescent="0.2">
      <c r="B164" s="26" t="s">
        <v>148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13">
        <v>2.0110000000000001</v>
      </c>
      <c r="AR164" s="71">
        <v>3.875</v>
      </c>
      <c r="AS164" s="13">
        <v>1.405</v>
      </c>
      <c r="AT164" s="13">
        <v>9.3010000000000002</v>
      </c>
      <c r="AU164" s="13">
        <v>11.746</v>
      </c>
      <c r="AV164" s="13">
        <v>17.097000000000001</v>
      </c>
    </row>
    <row r="165" spans="1:48" ht="15" customHeight="1" x14ac:dyDescent="0.2">
      <c r="B165" s="49" t="s">
        <v>151</v>
      </c>
      <c r="C165" s="50">
        <f t="shared" ref="C165:AQ165" si="265">+SUM(C161:C164)</f>
        <v>83.804999999999993</v>
      </c>
      <c r="D165" s="50">
        <f t="shared" si="265"/>
        <v>133.38800000000001</v>
      </c>
      <c r="E165" s="50">
        <f t="shared" si="265"/>
        <v>7.8270000000000008</v>
      </c>
      <c r="F165" s="50">
        <f t="shared" si="265"/>
        <v>12.272</v>
      </c>
      <c r="G165" s="50">
        <f t="shared" si="265"/>
        <v>29.111000000000001</v>
      </c>
      <c r="H165" s="50">
        <f t="shared" si="265"/>
        <v>43.328000000000003</v>
      </c>
      <c r="I165" s="50">
        <f t="shared" si="265"/>
        <v>21.216999999999999</v>
      </c>
      <c r="J165" s="50">
        <f t="shared" si="265"/>
        <v>36.090000000000003</v>
      </c>
      <c r="K165" s="50">
        <f t="shared" si="265"/>
        <v>40.405999999999999</v>
      </c>
      <c r="L165" s="50">
        <f t="shared" si="265"/>
        <v>53.935000000000002</v>
      </c>
      <c r="M165" s="50">
        <f t="shared" si="265"/>
        <v>11.288</v>
      </c>
      <c r="N165" s="50">
        <f t="shared" si="265"/>
        <v>24.597999999999999</v>
      </c>
      <c r="O165" s="50">
        <f t="shared" si="265"/>
        <v>56.157999999999994</v>
      </c>
      <c r="P165" s="50">
        <f t="shared" si="265"/>
        <v>96.516999999999996</v>
      </c>
      <c r="Q165" s="50">
        <f t="shared" si="265"/>
        <v>47.463999999999999</v>
      </c>
      <c r="R165" s="50">
        <f t="shared" si="265"/>
        <v>112.494</v>
      </c>
      <c r="S165" s="50">
        <f t="shared" si="265"/>
        <v>145.35700000000003</v>
      </c>
      <c r="T165" s="50">
        <f t="shared" si="265"/>
        <v>193.334</v>
      </c>
      <c r="U165" s="50">
        <f t="shared" si="265"/>
        <v>12.667999999999999</v>
      </c>
      <c r="V165" s="50">
        <f t="shared" si="265"/>
        <v>53.994</v>
      </c>
      <c r="W165" s="50">
        <f t="shared" si="265"/>
        <v>97.510999999999996</v>
      </c>
      <c r="X165" s="50">
        <f t="shared" si="265"/>
        <v>184.126</v>
      </c>
      <c r="Y165" s="50">
        <f t="shared" si="265"/>
        <v>93.308999999999997</v>
      </c>
      <c r="Z165" s="50">
        <f t="shared" si="265"/>
        <v>225.81200000000001</v>
      </c>
      <c r="AA165" s="50">
        <f t="shared" si="265"/>
        <v>319.38200000000001</v>
      </c>
      <c r="AB165" s="50">
        <f t="shared" si="265"/>
        <v>401.46099999999996</v>
      </c>
      <c r="AC165" s="50">
        <f t="shared" si="265"/>
        <v>81.344999999999985</v>
      </c>
      <c r="AD165" s="50">
        <f t="shared" si="265"/>
        <v>155.86100000000005</v>
      </c>
      <c r="AE165" s="50">
        <f t="shared" si="265"/>
        <v>272.82299999999998</v>
      </c>
      <c r="AF165" s="50">
        <f t="shared" si="265"/>
        <v>296.08299999999997</v>
      </c>
      <c r="AG165" s="50">
        <f t="shared" si="265"/>
        <v>36.576999999999998</v>
      </c>
      <c r="AH165" s="50">
        <f t="shared" si="265"/>
        <v>118.336</v>
      </c>
      <c r="AI165" s="50">
        <f t="shared" si="265"/>
        <v>138.745</v>
      </c>
      <c r="AJ165" s="50">
        <f t="shared" si="265"/>
        <v>169.65299999999999</v>
      </c>
      <c r="AK165" s="50">
        <f t="shared" si="265"/>
        <v>26.905000000000001</v>
      </c>
      <c r="AL165" s="50">
        <f t="shared" si="265"/>
        <v>85.593000000000004</v>
      </c>
      <c r="AM165" s="50">
        <f t="shared" si="265"/>
        <v>111.52200000000001</v>
      </c>
      <c r="AN165" s="50">
        <f t="shared" si="265"/>
        <v>232.73099999999999</v>
      </c>
      <c r="AO165" s="50">
        <f t="shared" si="265"/>
        <v>37.382999999999996</v>
      </c>
      <c r="AP165" s="50">
        <f t="shared" si="265"/>
        <v>78.176000000000016</v>
      </c>
      <c r="AQ165" s="50">
        <f t="shared" si="265"/>
        <v>178.39600000000002</v>
      </c>
      <c r="AR165" s="95">
        <v>261.96100000000001</v>
      </c>
      <c r="AS165" s="50">
        <v>58.59</v>
      </c>
      <c r="AT165" s="50">
        <v>115.53100000000001</v>
      </c>
      <c r="AU165" s="50">
        <v>163.97499999999999</v>
      </c>
      <c r="AV165" s="50">
        <v>291.78399999999999</v>
      </c>
    </row>
    <row r="166" spans="1:48" ht="15" customHeight="1" x14ac:dyDescent="0.2">
      <c r="B166" s="26" t="s">
        <v>11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13">
        <v>79.602000000000004</v>
      </c>
      <c r="AR166" s="71">
        <v>117.54900000000001</v>
      </c>
      <c r="AS166" s="13">
        <v>39.792999999999999</v>
      </c>
      <c r="AT166" s="13">
        <v>97.843999999999994</v>
      </c>
      <c r="AU166" s="13">
        <v>147.16800000000001</v>
      </c>
      <c r="AV166" s="13">
        <v>195.626</v>
      </c>
    </row>
    <row r="167" spans="1:48" ht="15" customHeight="1" x14ac:dyDescent="0.2">
      <c r="B167" s="26" t="s">
        <v>147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13">
        <v>51.792999999999999</v>
      </c>
      <c r="AR167" s="71">
        <v>67.397000000000006</v>
      </c>
      <c r="AS167" s="13">
        <v>22.853000000000002</v>
      </c>
      <c r="AT167" s="13">
        <v>41.866999999999997</v>
      </c>
      <c r="AU167" s="13">
        <v>59.436999999999998</v>
      </c>
      <c r="AV167" s="13">
        <v>86.021000000000001</v>
      </c>
    </row>
    <row r="168" spans="1:48" ht="15" customHeight="1" x14ac:dyDescent="0.2">
      <c r="B168" s="26" t="s">
        <v>149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13">
        <v>0.96699999999999997</v>
      </c>
      <c r="AR168" s="71">
        <v>1.367</v>
      </c>
      <c r="AS168" s="13">
        <v>0.42699999999999999</v>
      </c>
      <c r="AT168" s="13">
        <v>0.88</v>
      </c>
      <c r="AU168" s="13">
        <v>1.3009999999999999</v>
      </c>
      <c r="AV168" s="93"/>
    </row>
    <row r="169" spans="1:48" ht="15" customHeight="1" x14ac:dyDescent="0.2">
      <c r="B169" s="26" t="s">
        <v>148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13">
        <v>3.2509999999999999</v>
      </c>
      <c r="AR169" s="13">
        <v>4.96</v>
      </c>
      <c r="AS169" s="13">
        <v>1.365</v>
      </c>
      <c r="AT169" s="13">
        <v>2.9449999999999998</v>
      </c>
      <c r="AU169" s="13">
        <v>4.641</v>
      </c>
      <c r="AV169" s="13">
        <v>7.4610000000000003</v>
      </c>
    </row>
    <row r="170" spans="1:48" ht="15" customHeight="1" x14ac:dyDescent="0.2">
      <c r="A170" s="63" t="s">
        <v>79</v>
      </c>
      <c r="B170" s="49" t="s">
        <v>152</v>
      </c>
      <c r="C170" s="50">
        <f t="shared" ref="C170:AQ170" si="266">+SUM(C166:C169)</f>
        <v>64.634200000000007</v>
      </c>
      <c r="D170" s="50">
        <f t="shared" si="266"/>
        <v>89.929999999999993</v>
      </c>
      <c r="E170" s="50">
        <f t="shared" si="266"/>
        <v>24.072999999999997</v>
      </c>
      <c r="F170" s="50">
        <f t="shared" si="266"/>
        <v>45.598000000000006</v>
      </c>
      <c r="G170" s="50">
        <f t="shared" si="266"/>
        <v>65.533999999999992</v>
      </c>
      <c r="H170" s="50">
        <f t="shared" si="266"/>
        <v>84.487999999999985</v>
      </c>
      <c r="I170" s="50">
        <f t="shared" si="266"/>
        <v>21.442999999999998</v>
      </c>
      <c r="J170" s="50">
        <f t="shared" si="266"/>
        <v>37.966000000000001</v>
      </c>
      <c r="K170" s="50">
        <f t="shared" si="266"/>
        <v>55.790000000000006</v>
      </c>
      <c r="L170" s="50">
        <f t="shared" si="266"/>
        <v>73.074999999999989</v>
      </c>
      <c r="M170" s="50">
        <f t="shared" si="266"/>
        <v>16.878</v>
      </c>
      <c r="N170" s="50">
        <f t="shared" si="266"/>
        <v>33.096000000000004</v>
      </c>
      <c r="O170" s="50">
        <f t="shared" si="266"/>
        <v>53.508000000000003</v>
      </c>
      <c r="P170" s="50">
        <f t="shared" si="266"/>
        <v>75.097999999999999</v>
      </c>
      <c r="Q170" s="50">
        <f t="shared" si="266"/>
        <v>20.731999999999999</v>
      </c>
      <c r="R170" s="50">
        <f t="shared" si="266"/>
        <v>43.661000000000001</v>
      </c>
      <c r="S170" s="50">
        <f t="shared" si="266"/>
        <v>68.039000000000001</v>
      </c>
      <c r="T170" s="50">
        <f t="shared" si="266"/>
        <v>90.939000000000007</v>
      </c>
      <c r="U170" s="50">
        <f t="shared" si="266"/>
        <v>18.682000000000002</v>
      </c>
      <c r="V170" s="50">
        <f t="shared" si="266"/>
        <v>38.298999999999999</v>
      </c>
      <c r="W170" s="50">
        <f t="shared" si="266"/>
        <v>60.198999999999998</v>
      </c>
      <c r="X170" s="50">
        <f t="shared" si="266"/>
        <v>82.500000000000014</v>
      </c>
      <c r="Y170" s="50">
        <f t="shared" si="266"/>
        <v>21.120000000000005</v>
      </c>
      <c r="Z170" s="50">
        <f t="shared" si="266"/>
        <v>48.192999999999998</v>
      </c>
      <c r="AA170" s="50">
        <f t="shared" si="266"/>
        <v>68.953000000000003</v>
      </c>
      <c r="AB170" s="50">
        <f t="shared" si="266"/>
        <v>89.997</v>
      </c>
      <c r="AC170" s="50">
        <f t="shared" si="266"/>
        <v>24.504999999999999</v>
      </c>
      <c r="AD170" s="50">
        <f t="shared" si="266"/>
        <v>52.495000000000005</v>
      </c>
      <c r="AE170" s="50">
        <f t="shared" si="266"/>
        <v>76.871999999999986</v>
      </c>
      <c r="AF170" s="50">
        <f t="shared" si="266"/>
        <v>100.607</v>
      </c>
      <c r="AG170" s="50">
        <f t="shared" si="266"/>
        <v>31.968000000000004</v>
      </c>
      <c r="AH170" s="50">
        <f t="shared" si="266"/>
        <v>55.869</v>
      </c>
      <c r="AI170" s="50">
        <f t="shared" si="266"/>
        <v>85.025000000000006</v>
      </c>
      <c r="AJ170" s="50">
        <f t="shared" si="266"/>
        <v>114.396</v>
      </c>
      <c r="AK170" s="50">
        <f t="shared" si="266"/>
        <v>34.676999999999992</v>
      </c>
      <c r="AL170" s="50">
        <f t="shared" si="266"/>
        <v>63.596000000000004</v>
      </c>
      <c r="AM170" s="50">
        <f t="shared" si="266"/>
        <v>98.986000000000004</v>
      </c>
      <c r="AN170" s="50">
        <f t="shared" si="266"/>
        <v>136.995</v>
      </c>
      <c r="AO170" s="50">
        <f t="shared" si="266"/>
        <v>43.153999999999996</v>
      </c>
      <c r="AP170" s="50">
        <f t="shared" si="266"/>
        <v>83.475000000000009</v>
      </c>
      <c r="AQ170" s="50">
        <f t="shared" si="266"/>
        <v>135.61300000000003</v>
      </c>
      <c r="AR170" s="50">
        <v>189.90600000000001</v>
      </c>
      <c r="AS170" s="50">
        <v>64.438000000000002</v>
      </c>
      <c r="AT170" s="50">
        <f t="shared" ref="AT170" si="267">+SUM(AT166:AT169)</f>
        <v>143.53599999999997</v>
      </c>
      <c r="AU170" s="50">
        <v>212.547</v>
      </c>
      <c r="AV170" s="50">
        <v>289.108</v>
      </c>
    </row>
    <row r="171" spans="1:48" x14ac:dyDescent="0.2">
      <c r="A171" s="63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48" x14ac:dyDescent="0.2">
      <c r="A172" s="63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48" ht="20.100000000000001" customHeight="1" x14ac:dyDescent="0.2">
      <c r="B173" s="34" t="s">
        <v>150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1:48" x14ac:dyDescent="0.2">
      <c r="B174" s="36" t="s">
        <v>132</v>
      </c>
      <c r="C174" s="37" t="s">
        <v>84</v>
      </c>
      <c r="D174" s="37">
        <v>2008</v>
      </c>
      <c r="E174" s="37" t="s">
        <v>85</v>
      </c>
      <c r="F174" s="37" t="s">
        <v>86</v>
      </c>
      <c r="G174" s="37" t="s">
        <v>87</v>
      </c>
      <c r="H174" s="37">
        <v>2009</v>
      </c>
      <c r="I174" s="37" t="s">
        <v>88</v>
      </c>
      <c r="J174" s="37" t="s">
        <v>89</v>
      </c>
      <c r="K174" s="37" t="s">
        <v>90</v>
      </c>
      <c r="L174" s="37">
        <v>2010</v>
      </c>
      <c r="M174" s="37" t="s">
        <v>91</v>
      </c>
      <c r="N174" s="37" t="s">
        <v>92</v>
      </c>
      <c r="O174" s="37" t="s">
        <v>93</v>
      </c>
      <c r="P174" s="37">
        <v>2011</v>
      </c>
      <c r="Q174" s="37" t="s">
        <v>94</v>
      </c>
      <c r="R174" s="37" t="s">
        <v>95</v>
      </c>
      <c r="S174" s="37" t="s">
        <v>96</v>
      </c>
      <c r="T174" s="37">
        <v>2012</v>
      </c>
      <c r="U174" s="37" t="s">
        <v>97</v>
      </c>
      <c r="V174" s="37" t="s">
        <v>98</v>
      </c>
      <c r="W174" s="37" t="s">
        <v>99</v>
      </c>
      <c r="X174" s="37">
        <v>2013</v>
      </c>
      <c r="Y174" s="37" t="s">
        <v>100</v>
      </c>
      <c r="Z174" s="37" t="s">
        <v>101</v>
      </c>
      <c r="AA174" s="37" t="s">
        <v>102</v>
      </c>
      <c r="AB174" s="37">
        <v>2014</v>
      </c>
      <c r="AC174" s="37" t="s">
        <v>103</v>
      </c>
      <c r="AD174" s="37" t="s">
        <v>104</v>
      </c>
      <c r="AE174" s="37" t="s">
        <v>105</v>
      </c>
      <c r="AF174" s="37">
        <v>2015</v>
      </c>
      <c r="AG174" s="37" t="s">
        <v>106</v>
      </c>
      <c r="AH174" s="37" t="s">
        <v>107</v>
      </c>
      <c r="AI174" s="37" t="s">
        <v>108</v>
      </c>
      <c r="AJ174" s="37">
        <v>2016</v>
      </c>
      <c r="AK174" s="37" t="s">
        <v>109</v>
      </c>
      <c r="AL174" s="37" t="s">
        <v>110</v>
      </c>
      <c r="AM174" s="37" t="s">
        <v>111</v>
      </c>
      <c r="AN174" s="37">
        <v>2017</v>
      </c>
      <c r="AO174" s="37" t="s">
        <v>112</v>
      </c>
      <c r="AP174" s="37" t="s">
        <v>113</v>
      </c>
      <c r="AQ174" s="37" t="s">
        <v>114</v>
      </c>
      <c r="AR174" s="37">
        <v>2018</v>
      </c>
      <c r="AS174" s="37" t="s">
        <v>187</v>
      </c>
      <c r="AT174" s="37" t="s">
        <v>190</v>
      </c>
      <c r="AU174" s="37" t="s">
        <v>192</v>
      </c>
      <c r="AV174" s="37">
        <v>2019</v>
      </c>
    </row>
    <row r="175" spans="1:48" ht="15" customHeight="1" x14ac:dyDescent="0.2">
      <c r="B175" s="26" t="s">
        <v>11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13">
        <v>1921</v>
      </c>
      <c r="AR175" s="13">
        <v>2090.16</v>
      </c>
      <c r="AS175" s="13">
        <v>2630</v>
      </c>
      <c r="AT175" s="13">
        <v>2025.46</v>
      </c>
      <c r="AU175" s="13">
        <v>2109.7310000000002</v>
      </c>
      <c r="AV175" s="13">
        <v>1562.123</v>
      </c>
    </row>
    <row r="176" spans="1:48" ht="15" customHeight="1" x14ac:dyDescent="0.2">
      <c r="B176" s="26" t="s">
        <v>147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13">
        <v>609</v>
      </c>
      <c r="AR176" s="13">
        <v>671.71699999999998</v>
      </c>
      <c r="AS176" s="13">
        <v>436</v>
      </c>
      <c r="AT176" s="13">
        <v>371.61799999999999</v>
      </c>
      <c r="AU176" s="13">
        <v>248.48099999999999</v>
      </c>
      <c r="AV176" s="13">
        <v>510.56200000000001</v>
      </c>
    </row>
    <row r="177" spans="1:48" ht="15" customHeight="1" x14ac:dyDescent="0.2">
      <c r="B177" s="26" t="s">
        <v>149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13">
        <v>-282</v>
      </c>
      <c r="AR177" s="13">
        <v>-94.53</v>
      </c>
      <c r="AS177" s="13">
        <v>-71</v>
      </c>
      <c r="AT177" s="13">
        <v>-70.710999999999999</v>
      </c>
      <c r="AU177" s="13">
        <v>-66.736000000000004</v>
      </c>
      <c r="AV177" s="93"/>
    </row>
    <row r="178" spans="1:48" ht="15" customHeight="1" x14ac:dyDescent="0.2">
      <c r="B178" s="26" t="s">
        <v>148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13">
        <v>1178</v>
      </c>
      <c r="AR178" s="13">
        <v>833.64300000000003</v>
      </c>
      <c r="AS178" s="13">
        <v>1205</v>
      </c>
      <c r="AT178" s="13">
        <v>1279.665</v>
      </c>
      <c r="AU178" s="13">
        <v>1218.9259999999999</v>
      </c>
      <c r="AV178" s="13">
        <v>1256.3379</v>
      </c>
    </row>
    <row r="179" spans="1:48" ht="15" customHeight="1" x14ac:dyDescent="0.2">
      <c r="A179" s="63" t="s">
        <v>79</v>
      </c>
      <c r="B179" s="49" t="s">
        <v>146</v>
      </c>
      <c r="C179" s="50">
        <f t="shared" ref="C179:AQ179" si="268">+SUM(C175:C178)</f>
        <v>-70</v>
      </c>
      <c r="D179" s="50">
        <f t="shared" si="268"/>
        <v>-112</v>
      </c>
      <c r="E179" s="50">
        <f t="shared" si="268"/>
        <v>-215</v>
      </c>
      <c r="F179" s="50">
        <f t="shared" si="268"/>
        <v>-88</v>
      </c>
      <c r="G179" s="50">
        <f t="shared" si="268"/>
        <v>-20</v>
      </c>
      <c r="H179" s="50">
        <f t="shared" si="268"/>
        <v>49</v>
      </c>
      <c r="I179" s="50">
        <f t="shared" si="268"/>
        <v>134</v>
      </c>
      <c r="J179" s="50">
        <f t="shared" si="268"/>
        <v>88</v>
      </c>
      <c r="K179" s="50">
        <f t="shared" si="268"/>
        <v>95</v>
      </c>
      <c r="L179" s="50">
        <f t="shared" si="268"/>
        <v>282</v>
      </c>
      <c r="M179" s="50">
        <f t="shared" si="268"/>
        <v>372</v>
      </c>
      <c r="N179" s="50">
        <f t="shared" si="268"/>
        <v>306</v>
      </c>
      <c r="O179" s="50">
        <f t="shared" si="268"/>
        <v>190</v>
      </c>
      <c r="P179" s="50">
        <f t="shared" si="268"/>
        <v>376</v>
      </c>
      <c r="Q179" s="50">
        <f t="shared" si="268"/>
        <v>451</v>
      </c>
      <c r="R179" s="50">
        <f t="shared" si="268"/>
        <v>381</v>
      </c>
      <c r="S179" s="50">
        <f t="shared" si="268"/>
        <v>265</v>
      </c>
      <c r="T179" s="50">
        <f t="shared" si="268"/>
        <v>635</v>
      </c>
      <c r="U179" s="50">
        <f t="shared" si="268"/>
        <v>683</v>
      </c>
      <c r="V179" s="50">
        <f t="shared" si="268"/>
        <v>378</v>
      </c>
      <c r="W179" s="50">
        <f t="shared" si="268"/>
        <v>102</v>
      </c>
      <c r="X179" s="50">
        <f t="shared" si="268"/>
        <v>194</v>
      </c>
      <c r="Y179" s="50">
        <f t="shared" si="268"/>
        <v>377</v>
      </c>
      <c r="Z179" s="50">
        <f t="shared" si="268"/>
        <v>127</v>
      </c>
      <c r="AA179" s="50">
        <f t="shared" si="268"/>
        <v>-68</v>
      </c>
      <c r="AB179" s="50">
        <f t="shared" si="268"/>
        <v>2</v>
      </c>
      <c r="AC179" s="50">
        <f t="shared" si="268"/>
        <v>110</v>
      </c>
      <c r="AD179" s="50">
        <f t="shared" si="268"/>
        <v>35</v>
      </c>
      <c r="AE179" s="50">
        <f t="shared" si="268"/>
        <v>-233</v>
      </c>
      <c r="AF179" s="50">
        <f t="shared" si="268"/>
        <v>-182</v>
      </c>
      <c r="AG179" s="50">
        <f t="shared" si="268"/>
        <v>80</v>
      </c>
      <c r="AH179" s="50">
        <f t="shared" si="268"/>
        <v>157</v>
      </c>
      <c r="AI179" s="50">
        <f t="shared" si="268"/>
        <v>114</v>
      </c>
      <c r="AJ179" s="50">
        <f t="shared" si="268"/>
        <v>332</v>
      </c>
      <c r="AK179" s="50">
        <f t="shared" si="268"/>
        <v>1913</v>
      </c>
      <c r="AL179" s="50">
        <f t="shared" si="268"/>
        <v>1767</v>
      </c>
      <c r="AM179" s="50">
        <f t="shared" si="268"/>
        <v>1731</v>
      </c>
      <c r="AN179" s="50">
        <f t="shared" si="268"/>
        <v>2136</v>
      </c>
      <c r="AO179" s="50">
        <f t="shared" si="268"/>
        <v>2691</v>
      </c>
      <c r="AP179" s="50">
        <f t="shared" si="268"/>
        <v>2865</v>
      </c>
      <c r="AQ179" s="50">
        <f t="shared" si="268"/>
        <v>3426</v>
      </c>
      <c r="AR179" s="50">
        <v>3595.52</v>
      </c>
      <c r="AS179" s="50">
        <v>4201</v>
      </c>
      <c r="AT179" s="50">
        <v>3606.0320000000002</v>
      </c>
      <c r="AU179" s="50">
        <v>3508.4549999999999</v>
      </c>
      <c r="AV179" s="50">
        <v>3329.0230000000001</v>
      </c>
    </row>
    <row r="180" spans="1:48" x14ac:dyDescent="0.2">
      <c r="A180" s="63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2" spans="1:48" ht="20.100000000000001" customHeight="1" x14ac:dyDescent="0.2">
      <c r="B182" s="34" t="s">
        <v>136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x14ac:dyDescent="0.2">
      <c r="B183" s="36" t="s">
        <v>132</v>
      </c>
      <c r="C183" s="37" t="s">
        <v>84</v>
      </c>
      <c r="D183" s="37">
        <v>2008</v>
      </c>
      <c r="E183" s="37" t="s">
        <v>85</v>
      </c>
      <c r="F183" s="37" t="s">
        <v>86</v>
      </c>
      <c r="G183" s="37" t="s">
        <v>87</v>
      </c>
      <c r="H183" s="37">
        <v>2009</v>
      </c>
      <c r="I183" s="37" t="s">
        <v>88</v>
      </c>
      <c r="J183" s="37" t="s">
        <v>89</v>
      </c>
      <c r="K183" s="37" t="s">
        <v>90</v>
      </c>
      <c r="L183" s="37">
        <v>2010</v>
      </c>
      <c r="M183" s="37" t="s">
        <v>91</v>
      </c>
      <c r="N183" s="37" t="s">
        <v>92</v>
      </c>
      <c r="O183" s="37" t="s">
        <v>93</v>
      </c>
      <c r="P183" s="37">
        <v>2011</v>
      </c>
      <c r="Q183" s="37" t="s">
        <v>94</v>
      </c>
      <c r="R183" s="37" t="s">
        <v>95</v>
      </c>
      <c r="S183" s="37" t="s">
        <v>96</v>
      </c>
      <c r="T183" s="37">
        <v>2012</v>
      </c>
      <c r="U183" s="37" t="s">
        <v>97</v>
      </c>
      <c r="V183" s="37" t="s">
        <v>98</v>
      </c>
      <c r="W183" s="37" t="s">
        <v>99</v>
      </c>
      <c r="X183" s="37">
        <v>2013</v>
      </c>
      <c r="Y183" s="37" t="s">
        <v>100</v>
      </c>
      <c r="Z183" s="37" t="s">
        <v>101</v>
      </c>
      <c r="AA183" s="37" t="s">
        <v>102</v>
      </c>
      <c r="AB183" s="37">
        <v>2014</v>
      </c>
      <c r="AC183" s="37" t="s">
        <v>103</v>
      </c>
      <c r="AD183" s="37" t="s">
        <v>104</v>
      </c>
      <c r="AE183" s="37" t="s">
        <v>105</v>
      </c>
      <c r="AF183" s="37">
        <v>2015</v>
      </c>
      <c r="AG183" s="37" t="s">
        <v>106</v>
      </c>
      <c r="AH183" s="37" t="s">
        <v>107</v>
      </c>
      <c r="AI183" s="37" t="s">
        <v>108</v>
      </c>
      <c r="AJ183" s="37">
        <v>2016</v>
      </c>
      <c r="AK183" s="37" t="s">
        <v>109</v>
      </c>
      <c r="AL183" s="37" t="s">
        <v>110</v>
      </c>
      <c r="AM183" s="37" t="s">
        <v>111</v>
      </c>
      <c r="AN183" s="37">
        <v>2017</v>
      </c>
      <c r="AO183" s="37" t="s">
        <v>112</v>
      </c>
      <c r="AP183" s="37" t="s">
        <v>113</v>
      </c>
      <c r="AQ183" s="37" t="s">
        <v>114</v>
      </c>
      <c r="AR183" s="37">
        <v>2018</v>
      </c>
      <c r="AS183" s="37" t="s">
        <v>187</v>
      </c>
      <c r="AT183" s="37" t="s">
        <v>190</v>
      </c>
      <c r="AU183" s="37" t="s">
        <v>192</v>
      </c>
      <c r="AV183" s="37">
        <v>2019</v>
      </c>
    </row>
    <row r="184" spans="1:48" ht="15" customHeight="1" x14ac:dyDescent="0.2">
      <c r="B184" s="48" t="s">
        <v>137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1">
        <v>-3595.52</v>
      </c>
      <c r="AS184" s="13">
        <v>-4201</v>
      </c>
      <c r="AT184" s="13">
        <v>-3606.0320000000002</v>
      </c>
      <c r="AU184" s="13">
        <v>-3508.4549999999999</v>
      </c>
      <c r="AV184" s="13">
        <v>-3329.0228999999999</v>
      </c>
    </row>
    <row r="185" spans="1:48" ht="15" customHeight="1" x14ac:dyDescent="0.2">
      <c r="B185" s="26" t="s">
        <v>138</v>
      </c>
      <c r="C185" s="56">
        <v>-0.18488143914814439</v>
      </c>
      <c r="D185" s="56">
        <v>-0.45176988281819802</v>
      </c>
      <c r="E185" s="56">
        <v>-1.2064921630798984</v>
      </c>
      <c r="F185" s="56">
        <v>-0.88765736043138932</v>
      </c>
      <c r="G185" s="56">
        <v>-0.23180805484147388</v>
      </c>
      <c r="H185" s="56">
        <v>0.24285919476184109</v>
      </c>
      <c r="I185" s="56">
        <v>0.61624740067352457</v>
      </c>
      <c r="J185" s="56">
        <v>0.30328617307525391</v>
      </c>
      <c r="K185" s="56">
        <v>0.34476018643812961</v>
      </c>
      <c r="L185" s="56">
        <v>0.94894007611084308</v>
      </c>
      <c r="M185" s="56">
        <v>1.305408957069873</v>
      </c>
      <c r="N185" s="56">
        <v>0.9809917487783385</v>
      </c>
      <c r="O185" s="56">
        <v>0.53184328808783743</v>
      </c>
      <c r="P185" s="56">
        <v>0.98328244055470948</v>
      </c>
      <c r="Q185" s="56">
        <v>1.1667119998134865</v>
      </c>
      <c r="R185" s="56">
        <v>1.0032161891193077</v>
      </c>
      <c r="S185" s="56">
        <v>0.75555555555555554</v>
      </c>
      <c r="T185" s="56">
        <v>2.447698115535744</v>
      </c>
      <c r="U185" s="56">
        <v>2.4661886432044455</v>
      </c>
      <c r="V185" s="56">
        <v>4.5627529875182757</v>
      </c>
      <c r="W185" s="56">
        <v>2.3485875575503781</v>
      </c>
      <c r="X185" s="56">
        <v>-8.0084936297776661</v>
      </c>
      <c r="Y185" s="56">
        <v>12.52334184943097</v>
      </c>
      <c r="Z185" s="56">
        <v>0.60706756349764079</v>
      </c>
      <c r="AA185" s="56">
        <v>-0.26439259742681337</v>
      </c>
      <c r="AB185" s="56">
        <v>3.234755299659775E-3</v>
      </c>
      <c r="AC185" s="56">
        <v>0.59162968688348261</v>
      </c>
      <c r="AD185" s="56">
        <v>0.20573313629434831</v>
      </c>
      <c r="AE185" s="56">
        <v>-1.2994358148938185</v>
      </c>
      <c r="AF185" s="56">
        <v>-0.75364638331573386</v>
      </c>
      <c r="AG185" s="56">
        <v>0.22354283243390866</v>
      </c>
      <c r="AH185" s="56">
        <v>0.40661878352577507</v>
      </c>
      <c r="AI185" s="56">
        <v>0.32967652741302916</v>
      </c>
      <c r="AJ185" s="56">
        <v>0.70137565823252102</v>
      </c>
      <c r="AK185" s="56">
        <v>3.7971219023233194</v>
      </c>
      <c r="AL185" s="56">
        <v>3.0220424699063142</v>
      </c>
      <c r="AM185" s="56">
        <v>2.3762537373493213</v>
      </c>
      <c r="AN185" s="56">
        <f>(AN184/AN63)*-1</f>
        <v>2.1253731343283584</v>
      </c>
      <c r="AO185" s="56">
        <f>(AO184/(AO63+AN63-AK63))*-1</f>
        <v>2.4974477958236658</v>
      </c>
      <c r="AP185" s="56">
        <f>(AP184/(AP63+AN63-AL63))*-1</f>
        <v>2.5741239892183287</v>
      </c>
      <c r="AQ185" s="56">
        <f>(AQ184/(AQ63+AN63-AM63))*-1</f>
        <v>2.6273006134969323</v>
      </c>
      <c r="AR185" s="56">
        <f>(AR184/AR63)*-1</f>
        <v>2.3951164011436274</v>
      </c>
      <c r="AS185" s="56">
        <f>(AS184/(AS63+AR63-AO63))*-1</f>
        <v>1.9554778515717368</v>
      </c>
      <c r="AT185" s="56">
        <f>(AT184/(AT63+AR63-AP63))*-1</f>
        <v>1.5640685546937687</v>
      </c>
      <c r="AU185" s="56">
        <f>(AU184/(AU63+AR63-AQ63))*-1</f>
        <v>1.5133224550429416</v>
      </c>
      <c r="AV185" s="56">
        <f>(AV184/AV63)*-1</f>
        <v>1.7329202081363921</v>
      </c>
    </row>
    <row r="186" spans="1:48" ht="15" customHeight="1" x14ac:dyDescent="0.2">
      <c r="B186" s="26" t="s">
        <v>139</v>
      </c>
      <c r="C186" s="56">
        <f t="shared" ref="C186:AM186" si="269">+C184/C113</f>
        <v>4.9923472349768308E-2</v>
      </c>
      <c r="D186" s="56">
        <f t="shared" si="269"/>
        <v>8.3036486304323379E-2</v>
      </c>
      <c r="E186" s="56">
        <f t="shared" si="269"/>
        <v>0.15290892910453877</v>
      </c>
      <c r="F186" s="56">
        <f t="shared" si="269"/>
        <v>6.4374682395053923E-2</v>
      </c>
      <c r="G186" s="56">
        <f t="shared" si="269"/>
        <v>1.4175185704783889E-2</v>
      </c>
      <c r="H186" s="56">
        <f t="shared" si="269"/>
        <v>-3.3959227319192084E-2</v>
      </c>
      <c r="I186" s="56">
        <f t="shared" si="269"/>
        <v>-8.5652023229314658E-2</v>
      </c>
      <c r="J186" s="56">
        <f t="shared" si="269"/>
        <v>-5.5405446546816249E-2</v>
      </c>
      <c r="K186" s="56">
        <f t="shared" si="269"/>
        <v>-5.9447944081131431E-2</v>
      </c>
      <c r="L186" s="56">
        <f t="shared" si="269"/>
        <v>-0.16834464565136903</v>
      </c>
      <c r="M186" s="56">
        <f t="shared" si="269"/>
        <v>-0.21264909596574463</v>
      </c>
      <c r="N186" s="56">
        <f t="shared" si="269"/>
        <v>-0.17350658506976127</v>
      </c>
      <c r="O186" s="56">
        <f t="shared" si="269"/>
        <v>-0.10312338080444346</v>
      </c>
      <c r="P186" s="56">
        <f t="shared" si="269"/>
        <v>-0.19942244303101389</v>
      </c>
      <c r="Q186" s="56">
        <f t="shared" si="269"/>
        <v>-0.22606634214702967</v>
      </c>
      <c r="R186" s="56">
        <f t="shared" si="269"/>
        <v>-0.19435647106931095</v>
      </c>
      <c r="S186" s="56">
        <f t="shared" si="269"/>
        <v>-0.13257662316836047</v>
      </c>
      <c r="T186" s="56">
        <f t="shared" si="269"/>
        <v>-0.30065576798743882</v>
      </c>
      <c r="U186" s="56">
        <f t="shared" si="269"/>
        <v>-0.30291897012864727</v>
      </c>
      <c r="V186" s="56">
        <f t="shared" si="269"/>
        <v>-0.19065174443584465</v>
      </c>
      <c r="W186" s="56">
        <f t="shared" si="269"/>
        <v>-5.0895546633402455E-2</v>
      </c>
      <c r="X186" s="56">
        <f t="shared" si="269"/>
        <v>-0.10006674654054711</v>
      </c>
      <c r="Y186" s="56">
        <f t="shared" si="269"/>
        <v>-0.18131513653602729</v>
      </c>
      <c r="Z186" s="56">
        <f t="shared" si="269"/>
        <v>-6.0580516170213379E-2</v>
      </c>
      <c r="AA186" s="56">
        <f t="shared" si="269"/>
        <v>3.1033289393710722E-2</v>
      </c>
      <c r="AB186" s="56">
        <f t="shared" si="269"/>
        <v>-4.644139666864389E-4</v>
      </c>
      <c r="AC186" s="56">
        <f t="shared" si="269"/>
        <v>-5.2945683488732513E-2</v>
      </c>
      <c r="AD186" s="56">
        <f t="shared" si="269"/>
        <v>-1.7172911663505923E-2</v>
      </c>
      <c r="AE186" s="56">
        <f t="shared" si="269"/>
        <v>0.11005009244934154</v>
      </c>
      <c r="AF186" s="56">
        <f t="shared" si="269"/>
        <v>8.7624062710567885E-2</v>
      </c>
      <c r="AG186" s="56">
        <f t="shared" si="269"/>
        <v>-3.6253798736514978E-2</v>
      </c>
      <c r="AH186" s="56">
        <f t="shared" si="269"/>
        <v>-7.0271697117106915E-2</v>
      </c>
      <c r="AI186" s="56">
        <f t="shared" si="269"/>
        <v>-5.1383641533002782E-2</v>
      </c>
      <c r="AJ186" s="56">
        <f t="shared" si="269"/>
        <v>-0.13893295823374829</v>
      </c>
      <c r="AK186" s="56">
        <f t="shared" si="269"/>
        <v>-0.79162945791224337</v>
      </c>
      <c r="AL186" s="56">
        <f t="shared" si="269"/>
        <v>-0.67905965425932702</v>
      </c>
      <c r="AM186" s="56">
        <f t="shared" si="269"/>
        <v>-0.63530620884997868</v>
      </c>
      <c r="AN186" s="56">
        <f t="shared" ref="AN186:AT186" si="270">+AN184/AN113</f>
        <v>-0.71003226391925844</v>
      </c>
      <c r="AO186" s="56">
        <f t="shared" si="270"/>
        <v>-0.88202382349297159</v>
      </c>
      <c r="AP186" s="56">
        <f t="shared" si="270"/>
        <v>-0.83429138522072466</v>
      </c>
      <c r="AQ186" s="56">
        <f t="shared" si="270"/>
        <v>-0.81116749874868055</v>
      </c>
      <c r="AR186" s="81">
        <f t="shared" si="270"/>
        <v>-0.81265800182849846</v>
      </c>
      <c r="AS186" s="56">
        <f t="shared" si="270"/>
        <v>-0.8618813139576561</v>
      </c>
      <c r="AT186" s="56">
        <f t="shared" si="270"/>
        <v>-0.69735329120371858</v>
      </c>
      <c r="AU186" s="56">
        <f t="shared" ref="AU186:AV186" si="271">+AU184/AU113</f>
        <v>-0.65077428943940319</v>
      </c>
      <c r="AV186" s="56">
        <f t="shared" si="271"/>
        <v>-0.60562154462448625</v>
      </c>
    </row>
    <row r="187" spans="1:48" ht="15" customHeight="1" x14ac:dyDescent="0.2">
      <c r="B187" s="26" t="s">
        <v>140</v>
      </c>
      <c r="C187" s="56">
        <f t="shared" ref="C187:AM187" si="272">+(C111+C112)/C113</f>
        <v>0.36995542044466961</v>
      </c>
      <c r="D187" s="56">
        <f t="shared" si="272"/>
        <v>0.46015373237815993</v>
      </c>
      <c r="E187" s="56">
        <f t="shared" si="272"/>
        <v>0.48645981550265088</v>
      </c>
      <c r="F187" s="56">
        <f t="shared" si="272"/>
        <v>0.44433826489933148</v>
      </c>
      <c r="G187" s="56">
        <f t="shared" si="272"/>
        <v>0.39511382627310482</v>
      </c>
      <c r="H187" s="56">
        <f t="shared" si="272"/>
        <v>0.35481900508896691</v>
      </c>
      <c r="I187" s="56">
        <f t="shared" si="272"/>
        <v>0.3312626367906612</v>
      </c>
      <c r="J187" s="56">
        <f t="shared" si="272"/>
        <v>0.33928145565991302</v>
      </c>
      <c r="K187" s="56">
        <f t="shared" si="272"/>
        <v>0.29839626566774208</v>
      </c>
      <c r="L187" s="56">
        <f t="shared" si="272"/>
        <v>0.28245672525775861</v>
      </c>
      <c r="M187" s="56">
        <f t="shared" si="272"/>
        <v>0.27101280798666144</v>
      </c>
      <c r="N187" s="56">
        <f t="shared" si="272"/>
        <v>0.25757603236369947</v>
      </c>
      <c r="O187" s="56">
        <f t="shared" si="272"/>
        <v>0.27654505130478707</v>
      </c>
      <c r="P187" s="56">
        <f t="shared" si="272"/>
        <v>0.21714912963828256</v>
      </c>
      <c r="Q187" s="56">
        <f t="shared" si="272"/>
        <v>0.19809635000737849</v>
      </c>
      <c r="R187" s="56">
        <f t="shared" si="272"/>
        <v>0.24442649764874255</v>
      </c>
      <c r="S187" s="56">
        <f t="shared" si="272"/>
        <v>0.21564836530559064</v>
      </c>
      <c r="T187" s="56">
        <f t="shared" si="272"/>
        <v>0.20319429346860771</v>
      </c>
      <c r="U187" s="56">
        <f t="shared" si="272"/>
        <v>0.22422999826254422</v>
      </c>
      <c r="V187" s="56">
        <f t="shared" si="272"/>
        <v>0.29092392519901106</v>
      </c>
      <c r="W187" s="56">
        <f t="shared" si="272"/>
        <v>0.37815211156880602</v>
      </c>
      <c r="X187" s="56">
        <f t="shared" si="272"/>
        <v>0.47389887717023799</v>
      </c>
      <c r="Y187" s="56">
        <f t="shared" si="272"/>
        <v>0.45737947864350276</v>
      </c>
      <c r="Z187" s="56">
        <f t="shared" si="272"/>
        <v>0.46877470280306599</v>
      </c>
      <c r="AA187" s="56">
        <f t="shared" si="272"/>
        <v>0.46058041338506378</v>
      </c>
      <c r="AB187" s="56">
        <f t="shared" si="272"/>
        <v>0.54503913702165863</v>
      </c>
      <c r="AC187" s="56">
        <f t="shared" si="272"/>
        <v>0.54976627241259879</v>
      </c>
      <c r="AD187" s="56">
        <f t="shared" si="272"/>
        <v>0.56418461329260394</v>
      </c>
      <c r="AE187" s="56">
        <f t="shared" si="272"/>
        <v>0.65490547526508436</v>
      </c>
      <c r="AF187" s="56">
        <f t="shared" si="272"/>
        <v>0.58265292175326777</v>
      </c>
      <c r="AG187" s="56">
        <f t="shared" si="272"/>
        <v>0.5303619797397644</v>
      </c>
      <c r="AH187" s="56">
        <f t="shared" si="272"/>
        <v>0.48417277426271144</v>
      </c>
      <c r="AI187" s="56">
        <f t="shared" si="272"/>
        <v>0.48141132473190212</v>
      </c>
      <c r="AJ187" s="56">
        <f t="shared" si="272"/>
        <v>0.52993813294377667</v>
      </c>
      <c r="AK187" s="56">
        <f t="shared" si="272"/>
        <v>0.51547208288193158</v>
      </c>
      <c r="AL187" s="56">
        <f t="shared" si="272"/>
        <v>0.4974500779623382</v>
      </c>
      <c r="AM187" s="56">
        <f t="shared" si="272"/>
        <v>0.40928479973151399</v>
      </c>
      <c r="AN187" s="56">
        <f t="shared" ref="AN187:AT187" si="273">+(AN111+AN112)/AN113</f>
        <v>0.3921442376028566</v>
      </c>
      <c r="AO187" s="56">
        <f t="shared" si="273"/>
        <v>0.37967077665950605</v>
      </c>
      <c r="AP187" s="56">
        <f>+(AP111+AP112)/AP113</f>
        <v>0.34911993178903522</v>
      </c>
      <c r="AQ187" s="56">
        <f t="shared" si="273"/>
        <v>0.31019201419093256</v>
      </c>
      <c r="AR187" s="81">
        <f t="shared" si="273"/>
        <v>0.2527308253444821</v>
      </c>
      <c r="AS187" s="56">
        <f t="shared" si="273"/>
        <v>0.16791072870926452</v>
      </c>
      <c r="AT187" s="56">
        <f t="shared" si="273"/>
        <v>0.16580036534335738</v>
      </c>
      <c r="AU187" s="56">
        <f t="shared" ref="AU187:AV187" si="274">+(AU111+AU112)/AU113</f>
        <v>0.15525928267189443</v>
      </c>
      <c r="AV187" s="56">
        <f t="shared" si="274"/>
        <v>0.15207672730117322</v>
      </c>
    </row>
    <row r="188" spans="1:48" ht="15" customHeight="1" x14ac:dyDescent="0.2">
      <c r="B188" s="26" t="s">
        <v>141</v>
      </c>
      <c r="C188" s="56">
        <f t="shared" ref="C188:AM188" si="275">+C109/C113</f>
        <v>1.9920481614012124</v>
      </c>
      <c r="D188" s="56">
        <f t="shared" si="275"/>
        <v>2.2314684413687709</v>
      </c>
      <c r="E188" s="56">
        <f t="shared" si="275"/>
        <v>2.1252272016382032</v>
      </c>
      <c r="F188" s="56">
        <f t="shared" si="275"/>
        <v>2.0858630288687081</v>
      </c>
      <c r="G188" s="56">
        <f t="shared" si="275"/>
        <v>2.0180583579728695</v>
      </c>
      <c r="H188" s="56">
        <f t="shared" si="275"/>
        <v>1.9210524493250263</v>
      </c>
      <c r="I188" s="56">
        <f t="shared" si="275"/>
        <v>1.8443288065754155</v>
      </c>
      <c r="J188" s="56">
        <f t="shared" si="275"/>
        <v>1.8289879946620391</v>
      </c>
      <c r="K188" s="56">
        <f t="shared" si="275"/>
        <v>1.8019620167518848</v>
      </c>
      <c r="L188" s="56">
        <f t="shared" si="275"/>
        <v>1.8220236896044937</v>
      </c>
      <c r="M188" s="56">
        <f t="shared" si="275"/>
        <v>1.8363065239626744</v>
      </c>
      <c r="N188" s="56">
        <f t="shared" si="275"/>
        <v>1.9225513277255297</v>
      </c>
      <c r="O188" s="56">
        <f t="shared" si="275"/>
        <v>1.986480597836809</v>
      </c>
      <c r="P188" s="56">
        <f t="shared" si="275"/>
        <v>1.985440817628255</v>
      </c>
      <c r="Q188" s="56">
        <f t="shared" si="275"/>
        <v>1.9799335233335911</v>
      </c>
      <c r="R188" s="56">
        <f t="shared" si="275"/>
        <v>2.0402438151707214</v>
      </c>
      <c r="S188" s="56">
        <f t="shared" si="275"/>
        <v>1.9833057710425561</v>
      </c>
      <c r="T188" s="56">
        <f t="shared" si="275"/>
        <v>1.9559936815132162</v>
      </c>
      <c r="U188" s="56">
        <f t="shared" si="275"/>
        <v>1.9688813228837145</v>
      </c>
      <c r="V188" s="56">
        <f t="shared" si="275"/>
        <v>2.1509202193804215</v>
      </c>
      <c r="W188" s="56">
        <f t="shared" si="275"/>
        <v>2.2336297765495332</v>
      </c>
      <c r="X188" s="56">
        <f t="shared" si="275"/>
        <v>2.4437765744093869</v>
      </c>
      <c r="Y188" s="56">
        <f t="shared" si="275"/>
        <v>2.3574902062511858</v>
      </c>
      <c r="Z188" s="56">
        <f t="shared" si="275"/>
        <v>2.3411394787347777</v>
      </c>
      <c r="AA188" s="56">
        <f t="shared" si="275"/>
        <v>2.2783078852852117</v>
      </c>
      <c r="AB188" s="56">
        <f t="shared" si="275"/>
        <v>2.4826268095612165</v>
      </c>
      <c r="AC188" s="56">
        <f t="shared" si="275"/>
        <v>2.5860008203683531</v>
      </c>
      <c r="AD188" s="56">
        <f t="shared" si="275"/>
        <v>2.6611160619975087</v>
      </c>
      <c r="AE188" s="56">
        <f t="shared" si="275"/>
        <v>2.8710694879438514</v>
      </c>
      <c r="AF188" s="56">
        <f t="shared" si="275"/>
        <v>2.6981730199723279</v>
      </c>
      <c r="AG188" s="56">
        <f t="shared" si="275"/>
        <v>2.6121309510462991</v>
      </c>
      <c r="AH188" s="56">
        <f t="shared" si="275"/>
        <v>2.5360978903317268</v>
      </c>
      <c r="AI188" s="56">
        <f t="shared" si="275"/>
        <v>2.6008868000142451</v>
      </c>
      <c r="AJ188" s="56">
        <f t="shared" si="275"/>
        <v>2.8026600186513142</v>
      </c>
      <c r="AK188" s="56">
        <f t="shared" si="275"/>
        <v>3.5428826929013564</v>
      </c>
      <c r="AL188" s="56">
        <f t="shared" si="275"/>
        <v>3.2678606027242223</v>
      </c>
      <c r="AM188" s="56">
        <f t="shared" si="275"/>
        <v>3.0728532774428023</v>
      </c>
      <c r="AN188" s="56">
        <f t="shared" ref="AN188:AS188" si="276">+AN109/AN113</f>
        <v>3.1136211180082931</v>
      </c>
      <c r="AO188" s="56">
        <f t="shared" si="276"/>
        <v>3.2241310705101185</v>
      </c>
      <c r="AP188" s="56">
        <f t="shared" si="276"/>
        <v>3.0897374297185944</v>
      </c>
      <c r="AQ188" s="56">
        <f t="shared" si="276"/>
        <v>3.0419763790676169</v>
      </c>
      <c r="AR188" s="81">
        <f t="shared" si="276"/>
        <v>2.7202634484488839</v>
      </c>
      <c r="AS188" s="56">
        <f t="shared" si="276"/>
        <v>2.7564133838002016</v>
      </c>
      <c r="AT188" s="56">
        <f>+AT109/AT113</f>
        <v>2.4097094077654995</v>
      </c>
      <c r="AU188" s="56">
        <f>+AU109/AU113</f>
        <v>2.2706458171379622</v>
      </c>
      <c r="AV188" s="56">
        <f>+AV109/AV113</f>
        <v>2.3037015610702087</v>
      </c>
    </row>
    <row r="189" spans="1:48" ht="15" customHeight="1" x14ac:dyDescent="0.2">
      <c r="B189" s="26" t="s">
        <v>142</v>
      </c>
      <c r="C189" s="56">
        <v>1.4169516388381285</v>
      </c>
      <c r="D189" s="56">
        <v>1.2609307853595397</v>
      </c>
      <c r="E189" s="56">
        <v>1.2890532585359098</v>
      </c>
      <c r="F189" s="56">
        <v>1.298119600032541</v>
      </c>
      <c r="G189" s="56">
        <v>1.3174511137323608</v>
      </c>
      <c r="H189" s="56">
        <v>1.3886172628542284</v>
      </c>
      <c r="I189" s="56">
        <v>1.5312422404542014</v>
      </c>
      <c r="J189" s="56">
        <v>1.4652683786682392</v>
      </c>
      <c r="K189" s="56">
        <v>1.5598347918823665</v>
      </c>
      <c r="L189" s="56">
        <v>1.5204693177826616</v>
      </c>
      <c r="M189" s="56">
        <v>1.5288718369984144</v>
      </c>
      <c r="N189" s="56">
        <v>1.3994700835905591</v>
      </c>
      <c r="O189" s="56">
        <v>1.3680509018151183</v>
      </c>
      <c r="P189" s="56">
        <v>1.497160622103864</v>
      </c>
      <c r="Q189" s="56">
        <v>1.4473666070896472</v>
      </c>
      <c r="R189" s="56">
        <v>1.4135916756671765</v>
      </c>
      <c r="S189" s="56">
        <v>1.4323975116261574</v>
      </c>
      <c r="T189" s="56">
        <v>1.6284951261557579</v>
      </c>
      <c r="U189" s="56">
        <v>1.5932822264927062</v>
      </c>
      <c r="V189" s="56">
        <v>1.4587764508414374</v>
      </c>
      <c r="W189" s="56">
        <v>1.4160396767148551</v>
      </c>
      <c r="X189" s="56">
        <v>1.414806523632306</v>
      </c>
      <c r="Y189" s="56">
        <v>1.4048651322609051</v>
      </c>
      <c r="Z189" s="56">
        <v>1.4188503066602718</v>
      </c>
      <c r="AA189" s="56">
        <v>1.4903249403524836</v>
      </c>
      <c r="AB189" s="56">
        <v>1.4291064139160914</v>
      </c>
      <c r="AC189" s="56">
        <v>1.3683144662161824</v>
      </c>
      <c r="AD189" s="56">
        <v>1.3117905898216737</v>
      </c>
      <c r="AE189" s="56">
        <v>1.2400593230274304</v>
      </c>
      <c r="AF189" s="56">
        <v>1.2850736516576295</v>
      </c>
      <c r="AG189" s="56">
        <v>1.3318036239910931</v>
      </c>
      <c r="AH189" s="56">
        <v>1.217196036487268</v>
      </c>
      <c r="AI189" s="56">
        <v>1.2031789988308532</v>
      </c>
      <c r="AJ189" s="56">
        <v>1.1635333497751736</v>
      </c>
      <c r="AK189" s="56">
        <v>1.1026890882401366</v>
      </c>
      <c r="AL189" s="56">
        <v>1.1703102407672785</v>
      </c>
      <c r="AM189" s="56">
        <v>1.2134620647128691</v>
      </c>
      <c r="AN189" s="56">
        <v>1.2554748654251273</v>
      </c>
      <c r="AO189" s="56">
        <v>1.2067970068489018</v>
      </c>
      <c r="AP189" s="56">
        <v>1.2732521778241634</v>
      </c>
      <c r="AQ189" s="56">
        <v>1.2788315181807925</v>
      </c>
      <c r="AR189" s="56">
        <v>1.319474104577806</v>
      </c>
      <c r="AS189" s="56">
        <v>1.3258674495855256</v>
      </c>
      <c r="AT189" s="56">
        <v>1.3580654501923284</v>
      </c>
      <c r="AU189" s="56">
        <v>1.4139050112512892</v>
      </c>
      <c r="AV189" s="56">
        <v>1.3870722449481416</v>
      </c>
    </row>
    <row r="190" spans="1:48" ht="15" customHeight="1" x14ac:dyDescent="0.2">
      <c r="B190" s="26" t="s">
        <v>143</v>
      </c>
      <c r="C190" s="56">
        <v>0.35637167475872705</v>
      </c>
      <c r="D190" s="56">
        <v>0.33085501130044281</v>
      </c>
      <c r="E190" s="56">
        <v>0.32421566590484108</v>
      </c>
      <c r="F190" s="56">
        <v>0.37842842363606388</v>
      </c>
      <c r="G190" s="56">
        <v>0.40171357041972822</v>
      </c>
      <c r="H190" s="56">
        <v>0.45592023832341944</v>
      </c>
      <c r="I190" s="56">
        <v>0.5601968916279817</v>
      </c>
      <c r="J190" s="56">
        <v>0.50828787045878365</v>
      </c>
      <c r="K190" s="56">
        <v>0.48907946341067127</v>
      </c>
      <c r="L190" s="56">
        <v>0.58948682161385879</v>
      </c>
      <c r="M190" s="56">
        <v>0.61483723052139638</v>
      </c>
      <c r="N190" s="56">
        <v>0.50995202325625055</v>
      </c>
      <c r="O190" s="56">
        <v>0.4191405950830972</v>
      </c>
      <c r="P190" s="56">
        <v>0.463690165196952</v>
      </c>
      <c r="Q190" s="56">
        <v>0.45865982643602238</v>
      </c>
      <c r="R190" s="56">
        <v>0.45293713853961165</v>
      </c>
      <c r="S190" s="56">
        <v>0.38156749541076346</v>
      </c>
      <c r="T190" s="56">
        <v>0.58381908957544515</v>
      </c>
      <c r="U190" s="56">
        <v>0.58877671148027855</v>
      </c>
      <c r="V190" s="56">
        <v>0.45586635646051465</v>
      </c>
      <c r="W190" s="56">
        <v>0.38156734260003228</v>
      </c>
      <c r="X190" s="56">
        <v>0.45354950967876156</v>
      </c>
      <c r="Y190" s="56">
        <v>0.54581808403858112</v>
      </c>
      <c r="Z190" s="56">
        <v>0.46641869309887235</v>
      </c>
      <c r="AA190" s="56">
        <v>0.42122861363790826</v>
      </c>
      <c r="AB190" s="56">
        <v>0.45985803633911471</v>
      </c>
      <c r="AC190" s="56">
        <v>0.47891012082821349</v>
      </c>
      <c r="AD190" s="56">
        <v>0.43718658852730485</v>
      </c>
      <c r="AE190" s="56">
        <v>0.35084079427009773</v>
      </c>
      <c r="AF190" s="56">
        <v>0.35721919137526009</v>
      </c>
      <c r="AG190" s="56">
        <v>0.43483289468838265</v>
      </c>
      <c r="AH190" s="56">
        <v>0.40633144773231089</v>
      </c>
      <c r="AI190" s="56">
        <v>0.37125783488580871</v>
      </c>
      <c r="AJ190" s="56">
        <v>0.38070191602188902</v>
      </c>
      <c r="AK190" s="56">
        <v>0.53862194995717105</v>
      </c>
      <c r="AL190" s="56">
        <v>0.54246422225633495</v>
      </c>
      <c r="AM190" s="56">
        <v>0.5482011582415629</v>
      </c>
      <c r="AN190" s="56">
        <v>0.53445694901808183</v>
      </c>
      <c r="AO190" s="56">
        <v>0.62510245593376701</v>
      </c>
      <c r="AP190" s="56">
        <v>0.59192710416100813</v>
      </c>
      <c r="AQ190" s="56">
        <v>0.62066461888757707</v>
      </c>
      <c r="AR190" s="81">
        <v>0.67752527003927843</v>
      </c>
      <c r="AS190" s="56">
        <v>0.59546493337676831</v>
      </c>
      <c r="AT190" s="56">
        <v>0.65173690980210186</v>
      </c>
      <c r="AU190" s="56">
        <v>0.6473765874214753</v>
      </c>
      <c r="AV190" s="56">
        <f>4094.625/6645.129</f>
        <v>0.61618442621655656</v>
      </c>
    </row>
    <row r="191" spans="1:48" ht="15" customHeight="1" x14ac:dyDescent="0.2">
      <c r="B191" s="26" t="s">
        <v>144</v>
      </c>
      <c r="C191" s="44">
        <v>0.20559193395926331</v>
      </c>
      <c r="D191" s="44">
        <v>6.6759436997761407E-2</v>
      </c>
      <c r="E191" s="44">
        <v>-1.4228199515039749E-2</v>
      </c>
      <c r="F191" s="44">
        <v>-5.0242601431034969E-2</v>
      </c>
      <c r="G191" s="44">
        <v>-5.0770043861471048E-2</v>
      </c>
      <c r="H191" s="44">
        <v>4.8988167291935045E-2</v>
      </c>
      <c r="I191" s="44">
        <v>8.9555361022818553E-2</v>
      </c>
      <c r="J191" s="44">
        <v>0.10860726794586859</v>
      </c>
      <c r="K191" s="44">
        <v>0.10371237751100414</v>
      </c>
      <c r="L191" s="44">
        <v>0.1115317962892788</v>
      </c>
      <c r="M191" s="44">
        <v>0.11421739812849639</v>
      </c>
      <c r="N191" s="44">
        <v>0.12712067526291118</v>
      </c>
      <c r="O191" s="44">
        <v>0.12987162057537052</v>
      </c>
      <c r="P191" s="44">
        <v>0.13386677952910578</v>
      </c>
      <c r="Q191" s="44">
        <v>0.13804610313641366</v>
      </c>
      <c r="R191" s="44">
        <v>0.129309276407125</v>
      </c>
      <c r="S191" s="44">
        <v>0.124147765433177</v>
      </c>
      <c r="T191" s="44">
        <v>0.14862285940787964</v>
      </c>
      <c r="U191" s="44">
        <v>0.17036403890414242</v>
      </c>
      <c r="V191" s="44">
        <v>7.4830492486595138E-2</v>
      </c>
      <c r="W191" s="44">
        <v>5.1492601495018463E-2</v>
      </c>
      <c r="X191" s="44">
        <v>-3.1547583469883164E-2</v>
      </c>
      <c r="Y191" s="44">
        <v>-3.460496169549223E-2</v>
      </c>
      <c r="Z191" s="44">
        <v>5.6233134562640438E-2</v>
      </c>
      <c r="AA191" s="44">
        <v>8.8397595527522993E-2</v>
      </c>
      <c r="AB191" s="44">
        <v>2.6728085153731668E-2</v>
      </c>
      <c r="AC191" s="44">
        <v>-1.1809273056875345E-3</v>
      </c>
      <c r="AD191" s="44">
        <v>-7.1854409440259056E-3</v>
      </c>
      <c r="AE191" s="44">
        <v>-2.1198106476542723E-2</v>
      </c>
      <c r="AF191" s="44">
        <v>8.9041196184113339E-2</v>
      </c>
      <c r="AG191" s="44">
        <v>0.1187581291693959</v>
      </c>
      <c r="AH191" s="44">
        <v>0.13666879605816842</v>
      </c>
      <c r="AI191" s="44">
        <v>0.11111572237922887</v>
      </c>
      <c r="AJ191" s="44">
        <v>0.14429776818642337</v>
      </c>
      <c r="AK191" s="44">
        <v>0.14596656304405928</v>
      </c>
      <c r="AL191" s="44">
        <v>0.20321578373080665</v>
      </c>
      <c r="AM191" s="44">
        <v>0.2493251934307168</v>
      </c>
      <c r="AN191" s="44">
        <f>AN71/AVERAGE(AN113,AJ113)</f>
        <v>0.28610273153777321</v>
      </c>
      <c r="AO191" s="44">
        <f>(AO71+AN71-AK71)/AVERAGE(AO113,AK113)</f>
        <v>0.31123200360531461</v>
      </c>
      <c r="AP191" s="44">
        <f>(AP71+AN71-AL71)/AVERAGE(AP113,AL113)</f>
        <v>0.30027299352410841</v>
      </c>
      <c r="AQ191" s="44">
        <f>(AQ71+AN71-AM71)/AVERAGE(AQ113,AM113)</f>
        <v>0.35197203496608132</v>
      </c>
      <c r="AR191" s="82">
        <f>AR71/AVERAGE(AR113,AN113)</f>
        <v>0.37712414141331241</v>
      </c>
      <c r="AS191" s="44">
        <f>(AS71+AR71-AO71)/AVERAGE(AS113,AO113)</f>
        <v>0.48991622754824227</v>
      </c>
      <c r="AT191" s="44">
        <f>(AT71+AR71-AP71)/AVERAGE(AT113,AP113)</f>
        <v>0.4789023411525149</v>
      </c>
      <c r="AU191" s="44">
        <f>(AU71+AR71-AQ71)/AVERAGE(AU113,AQ113)</f>
        <v>0.38897181131102482</v>
      </c>
      <c r="AV191" s="82">
        <f>AV71/AVERAGE(AV113,AR113)</f>
        <v>0.28521745966870155</v>
      </c>
    </row>
    <row r="192" spans="1:48" ht="15" customHeight="1" x14ac:dyDescent="0.2">
      <c r="A192" s="63" t="s">
        <v>79</v>
      </c>
      <c r="B192" s="28" t="s">
        <v>145</v>
      </c>
      <c r="C192" s="47">
        <v>0.10407379650482508</v>
      </c>
      <c r="D192" s="47">
        <v>3.2798331980427357E-2</v>
      </c>
      <c r="E192" s="47">
        <v>-6.8759285643354958E-3</v>
      </c>
      <c r="F192" s="47">
        <v>-2.3845329588490217E-2</v>
      </c>
      <c r="G192" s="47">
        <v>-2.4021746926767826E-2</v>
      </c>
      <c r="H192" s="47">
        <v>2.4055651589909143E-2</v>
      </c>
      <c r="I192" s="47">
        <v>4.5611236279195319E-2</v>
      </c>
      <c r="J192" s="47">
        <v>5.7159959647387952E-2</v>
      </c>
      <c r="K192" s="47">
        <v>5.6136399628212978E-2</v>
      </c>
      <c r="L192" s="47">
        <v>6.1139077364145034E-2</v>
      </c>
      <c r="M192" s="47">
        <v>6.266514238962323E-2</v>
      </c>
      <c r="N192" s="47">
        <v>6.8817943825354319E-2</v>
      </c>
      <c r="O192" s="47">
        <v>6.8574657011949286E-2</v>
      </c>
      <c r="P192" s="47">
        <v>6.9202517625497895E-2</v>
      </c>
      <c r="Q192" s="47">
        <v>7.0094956468962841E-2</v>
      </c>
      <c r="R192" s="47">
        <v>6.4712224593639678E-2</v>
      </c>
      <c r="S192" s="47">
        <v>6.2161349354997425E-2</v>
      </c>
      <c r="T192" s="47">
        <v>7.471707434493062E-2</v>
      </c>
      <c r="U192" s="47">
        <v>8.5788363803979556E-2</v>
      </c>
      <c r="V192" s="47">
        <v>3.7186292583416956E-2</v>
      </c>
      <c r="W192" s="47">
        <v>2.4849180130681516E-2</v>
      </c>
      <c r="X192" s="47">
        <v>-1.440543748605938E-2</v>
      </c>
      <c r="Y192" s="47">
        <v>-1.5071597127730743E-2</v>
      </c>
      <c r="Z192" s="47">
        <v>2.3998164012655154E-2</v>
      </c>
      <c r="AA192" s="47">
        <v>3.7577351114034423E-2</v>
      </c>
      <c r="AB192" s="47">
        <v>1.1313515339638675E-2</v>
      </c>
      <c r="AC192" s="47">
        <v>-4.8817649302500022E-4</v>
      </c>
      <c r="AD192" s="47">
        <v>-2.8757440528114284E-3</v>
      </c>
      <c r="AE192" s="47">
        <v>-7.9900757851792351E-3</v>
      </c>
      <c r="AF192" s="47">
        <v>3.2915117867706747E-2</v>
      </c>
      <c r="AG192" s="47">
        <v>4.3814458927215479E-2</v>
      </c>
      <c r="AH192" s="47">
        <v>5.1050482771632578E-2</v>
      </c>
      <c r="AI192" s="47">
        <v>4.2566259138210071E-2</v>
      </c>
      <c r="AJ192" s="47">
        <v>5.4638859113956682E-2</v>
      </c>
      <c r="AK192" s="47">
        <v>5.0620761039796132E-2</v>
      </c>
      <c r="AL192" s="47">
        <v>6.6237450920698854E-2</v>
      </c>
      <c r="AM192" s="47">
        <v>7.860980760575606E-2</v>
      </c>
      <c r="AN192" s="47">
        <f>AN71/AVERAGE(AN114,AJ114)</f>
        <v>9.6127362943817532E-2</v>
      </c>
      <c r="AO192" s="47">
        <f>(AO71+AN71-AK71)/AVERAGE(AO114,AK114)</f>
        <v>9.249053832167918E-2</v>
      </c>
      <c r="AP192" s="47">
        <f>(AP71+AN71-AL71)/AVERAGE(AP114,AL114)</f>
        <v>9.4827752658553685E-2</v>
      </c>
      <c r="AQ192" s="47">
        <f>(AQ71+AN71-AM71)/AVERAGE(AQ114,AM114)</f>
        <v>0.11524646147056122</v>
      </c>
      <c r="AR192" s="83">
        <f>AR71/AVERAGE(AR114,AN114)</f>
        <v>0.13096993917000394</v>
      </c>
      <c r="AS192" s="47">
        <f>(AS71+AR71-AO71)/AVERAGE(AS114,AO114)</f>
        <v>0.16683848980353724</v>
      </c>
      <c r="AT192" s="47">
        <f>(AT71+AR71-AP71)/AVERAGE(AT114,AP114)</f>
        <v>0.17862225152116365</v>
      </c>
      <c r="AU192" s="47">
        <f>(AU71+AR71-AQ71)/AVERAGE(AU114,AQ114)</f>
        <v>0.1490613793709005</v>
      </c>
      <c r="AV192" s="83">
        <f>AV71/AVERAGE(AV114,AR114)</f>
        <v>0.11456966019382098</v>
      </c>
    </row>
    <row r="194" spans="4:41" ht="15" x14ac:dyDescent="0.2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O194"/>
    </row>
  </sheetData>
  <hyperlinks>
    <hyperlink ref="B4" location="'Financial Data - Old Segment'!A43" display="Summary Consolidated Income Statement (Quarterly)" xr:uid="{00000000-0004-0000-0200-000000000000}"/>
    <hyperlink ref="B3" location="'Financial Data - Old Segment'!A27" display="Summary Consolidated Income Statement (Cumulative)" xr:uid="{00000000-0004-0000-0200-000001000000}"/>
    <hyperlink ref="B5" location="'Financial Data - Old Segment'!A71" display="Consolidated Revenues, EBITDA &amp; Net Income (Cumulative)" xr:uid="{00000000-0004-0000-0200-000002000000}"/>
    <hyperlink ref="B6" location="'Financial Data - Old Segment'!A99" display="Consolidated Revenues, EBITDA &amp; Net Income (Quarterly)" xr:uid="{00000000-0004-0000-0200-000003000000}"/>
    <hyperlink ref="A27" location="'Financial Data - Old Segment'!A1" display="Up" xr:uid="{00000000-0004-0000-0200-000004000000}"/>
    <hyperlink ref="B7" location="'Financial Data - Old Segment'!A114" display="Summary Consolidated Balance Sheet" xr:uid="{00000000-0004-0000-0200-000005000000}"/>
    <hyperlink ref="B8" location="'Financial Data - Old Segment'!A141" display="Segmental assets and liabilities:" xr:uid="{00000000-0004-0000-0200-000006000000}"/>
    <hyperlink ref="B9" location="'Financial Data - Old Segment'!A156" display="Summary Consolidated Cash Flow Statement" xr:uid="{00000000-0004-0000-0200-000007000000}"/>
    <hyperlink ref="B12" location="'Financial Data - Old Segment'!A192" display="Ratios" xr:uid="{00000000-0004-0000-0200-000008000000}"/>
    <hyperlink ref="B11" location="'Financial Data - Old Segment'!A179" display="Net Cash Position" xr:uid="{00000000-0004-0000-0200-000009000000}"/>
    <hyperlink ref="B10" location="'Financial Data - Old Segment'!A170" display="Segmental information related to property, plant and equipment, intangible assets, investment property" xr:uid="{00000000-0004-0000-0200-000013000000}"/>
    <hyperlink ref="A43" location="'Financial Data - Old Segment'!A1" display="Up" xr:uid="{C1687822-6BA7-440E-B8FD-AE7CFE105FEC}"/>
    <hyperlink ref="A71" location="'Financial Data - Old Segment'!A1" display="Up" xr:uid="{0A5BD3D9-9749-4595-AAF1-2F365283126C}"/>
    <hyperlink ref="A99" location="'Financial Data - Old Segment'!A1" display="Up" xr:uid="{8FE39E6C-11B6-4735-9BF7-C53EA2CE4B44}"/>
    <hyperlink ref="A114" location="'Financial Data - Old Segment'!A1" display="Up" xr:uid="{2EEA6008-E80B-4A2C-AAF8-2A5586DD9E13}"/>
    <hyperlink ref="A141" location="'Financial Data - Old Segment'!A1" display="Up" xr:uid="{B333D5E8-72E4-4FB5-A054-C48C511F0A91}"/>
    <hyperlink ref="A156" location="'Financial Data - Old Segment'!A1" display="Up" xr:uid="{34F7B4A7-3521-4B55-8FA5-1CAC339F3460}"/>
    <hyperlink ref="A170" location="'Financial Data - Old Segment'!A1" display="Up" xr:uid="{7892E776-7D0B-4C2F-A38A-15C42AF62A92}"/>
    <hyperlink ref="A179" location="'Financial Data - Old Segment'!A1" display="Up" xr:uid="{5D1CA389-9728-4AC4-85EF-D3AC3B433343}"/>
    <hyperlink ref="A192" location="'Financial Data - Old Segment'!A1" display="Up" xr:uid="{47AA5ED6-A054-478A-98E3-E2314EE81E85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71AC-B824-4CD0-9B1B-D1CD303B28B1}">
  <sheetPr>
    <tabColor theme="7" tint="0.39997558519241921"/>
    <pageSetUpPr fitToPage="1"/>
  </sheetPr>
  <dimension ref="A2:AV125"/>
  <sheetViews>
    <sheetView zoomScale="80" zoomScaleNormal="80" workbookViewId="0">
      <pane xSplit="2" topLeftCell="AB1" activePane="topRight" state="frozen"/>
      <selection pane="topRight" activeCell="AV15" sqref="AV15"/>
    </sheetView>
  </sheetViews>
  <sheetFormatPr defaultColWidth="9.140625" defaultRowHeight="12.75" x14ac:dyDescent="0.2"/>
  <cols>
    <col min="1" max="1" width="8.7109375" style="64" customWidth="1"/>
    <col min="2" max="2" width="88.710937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4.95" customHeight="1" x14ac:dyDescent="0.25">
      <c r="B2" s="129" t="s">
        <v>9</v>
      </c>
      <c r="C2" s="57"/>
    </row>
    <row r="3" spans="2:48" ht="15" customHeight="1" x14ac:dyDescent="0.2">
      <c r="B3" s="63" t="s">
        <v>130</v>
      </c>
    </row>
    <row r="4" spans="2:48" ht="15" customHeight="1" x14ac:dyDescent="0.2">
      <c r="B4" s="63" t="s">
        <v>131</v>
      </c>
    </row>
    <row r="5" spans="2:48" ht="15" customHeight="1" x14ac:dyDescent="0.2">
      <c r="B5" s="63" t="s">
        <v>162</v>
      </c>
    </row>
    <row r="6" spans="2:48" ht="15" customHeight="1" x14ac:dyDescent="0.2">
      <c r="B6" s="63" t="s">
        <v>164</v>
      </c>
    </row>
    <row r="7" spans="2:48" ht="15" customHeight="1" x14ac:dyDescent="0.2">
      <c r="B7" s="63" t="s">
        <v>183</v>
      </c>
    </row>
    <row r="8" spans="2:48" ht="15" customHeight="1" x14ac:dyDescent="0.2">
      <c r="B8" s="63" t="s">
        <v>150</v>
      </c>
    </row>
    <row r="9" spans="2:48" ht="15" customHeight="1" x14ac:dyDescent="0.2">
      <c r="B9" s="63"/>
    </row>
    <row r="10" spans="2:48" ht="15" customHeight="1" x14ac:dyDescent="0.2">
      <c r="B10" s="124" t="s">
        <v>229</v>
      </c>
      <c r="C10" s="125">
        <v>1.2192148256522799</v>
      </c>
      <c r="D10" s="125">
        <v>1.2976901116013497</v>
      </c>
      <c r="E10" s="125">
        <v>1.647800000000001</v>
      </c>
      <c r="F10" s="125">
        <v>1.6056066298342526</v>
      </c>
      <c r="G10" s="125">
        <v>1.5675111371666295</v>
      </c>
      <c r="H10" s="125">
        <v>1.5456882254108053</v>
      </c>
      <c r="I10" s="125">
        <v>1.5019299800243313</v>
      </c>
      <c r="J10" s="125">
        <v>1.5163370149996058</v>
      </c>
      <c r="K10" s="125">
        <v>1.5141856482455887</v>
      </c>
      <c r="L10" s="125">
        <v>1.4990458573118211</v>
      </c>
      <c r="M10" s="125">
        <v>1.5706748718721972</v>
      </c>
      <c r="N10" s="125">
        <v>1.5641007593709186</v>
      </c>
      <c r="O10" s="125">
        <v>1.618099412791723</v>
      </c>
      <c r="P10" s="125">
        <v>1.6707991097982342</v>
      </c>
      <c r="Q10" s="125">
        <v>1.7899013764341585</v>
      </c>
      <c r="R10" s="125">
        <v>1.7934999973097501</v>
      </c>
      <c r="S10" s="125">
        <v>1.7942014995936133</v>
      </c>
      <c r="T10" s="125">
        <v>1.7922014147637966</v>
      </c>
      <c r="U10" s="125">
        <v>1.7803002654427698</v>
      </c>
      <c r="V10" s="125">
        <v>1.8089000000000004</v>
      </c>
      <c r="W10" s="125">
        <v>1.8627003567071183</v>
      </c>
      <c r="X10" s="125">
        <v>1.9033008947417507</v>
      </c>
      <c r="Y10" s="125">
        <v>2.2146000000000017</v>
      </c>
      <c r="Z10" s="125">
        <v>2.1628999999999983</v>
      </c>
      <c r="AA10" s="125">
        <v>2.1618000000000022</v>
      </c>
      <c r="AB10" s="125">
        <v>2.1865000000000001</v>
      </c>
      <c r="AC10" s="125">
        <v>2.4571000000000009</v>
      </c>
      <c r="AD10" s="125">
        <v>2.5606030732358085</v>
      </c>
      <c r="AE10" s="125">
        <v>2.6561999999999997</v>
      </c>
      <c r="AF10" s="125">
        <v>2.7190999999999996</v>
      </c>
      <c r="AG10" s="125">
        <v>2.9409000000000036</v>
      </c>
      <c r="AH10" s="125">
        <v>2.9180977504384442</v>
      </c>
      <c r="AI10" s="125">
        <v>2.9309000000000034</v>
      </c>
      <c r="AJ10" s="125">
        <v>3.0181000000000036</v>
      </c>
      <c r="AK10" s="125">
        <v>3.6928000000000014</v>
      </c>
      <c r="AL10" s="125">
        <v>3.6356000000000037</v>
      </c>
      <c r="AM10" s="125">
        <v>3.5935999999999981</v>
      </c>
      <c r="AN10" s="125">
        <v>3.6444999999999954</v>
      </c>
      <c r="AO10" s="125">
        <v>3.8093999999999948</v>
      </c>
      <c r="AP10" s="125">
        <v>4.0860000000000047</v>
      </c>
      <c r="AQ10" s="125">
        <v>4.6019999999999994</v>
      </c>
      <c r="AR10" s="125">
        <v>4.8301000000000016</v>
      </c>
      <c r="AS10" s="125">
        <v>5.3628999999999944</v>
      </c>
      <c r="AT10" s="125">
        <v>5.6197000000000008</v>
      </c>
      <c r="AU10" s="125">
        <v>5.6338000000000124</v>
      </c>
      <c r="AV10" s="125">
        <v>5.6711999999999883</v>
      </c>
    </row>
    <row r="11" spans="2:48" ht="15" customHeight="1" thickBot="1" x14ac:dyDescent="0.25">
      <c r="B11" s="126" t="s">
        <v>230</v>
      </c>
      <c r="C11" s="127">
        <v>1.2316787781746521</v>
      </c>
      <c r="D11" s="127">
        <v>1.5124016938898972</v>
      </c>
      <c r="E11" s="127">
        <v>1.6880000000000013</v>
      </c>
      <c r="F11" s="127">
        <v>1.5301000000000007</v>
      </c>
      <c r="G11" s="127">
        <v>1.4819996324640912</v>
      </c>
      <c r="H11" s="127">
        <v>1.5056998266939499</v>
      </c>
      <c r="I11" s="127">
        <v>1.5215003210365678</v>
      </c>
      <c r="J11" s="127">
        <v>1.5746989962868598</v>
      </c>
      <c r="K11" s="127">
        <v>1.4511997794176337</v>
      </c>
      <c r="L11" s="127">
        <v>1.5459988776048148</v>
      </c>
      <c r="M11" s="127">
        <v>1.5482991933361201</v>
      </c>
      <c r="N11" s="127">
        <v>1.6301991125196031</v>
      </c>
      <c r="O11" s="127">
        <v>1.8453010331840485</v>
      </c>
      <c r="P11" s="127">
        <v>1.8888987531379331</v>
      </c>
      <c r="Q11" s="127">
        <v>1.772901903564774</v>
      </c>
      <c r="R11" s="127">
        <v>1.8064986984176878</v>
      </c>
      <c r="S11" s="127">
        <v>1.7847008305997667</v>
      </c>
      <c r="T11" s="127">
        <v>1.7826011002213991</v>
      </c>
      <c r="U11" s="127">
        <v>1.808700936726215</v>
      </c>
      <c r="V11" s="127">
        <v>1.9247999999999994</v>
      </c>
      <c r="W11" s="127">
        <v>2.0341989527943793</v>
      </c>
      <c r="X11" s="127">
        <v>2.134298605449291</v>
      </c>
      <c r="Y11" s="127">
        <v>2.1898000000000017</v>
      </c>
      <c r="Z11" s="127">
        <v>2.123399999999998</v>
      </c>
      <c r="AA11" s="127">
        <v>2.2788999999999988</v>
      </c>
      <c r="AB11" s="127">
        <v>2.3189000000000002</v>
      </c>
      <c r="AC11" s="127">
        <v>2.6101999999999981</v>
      </c>
      <c r="AD11" s="127">
        <v>2.686301741529419</v>
      </c>
      <c r="AE11" s="127">
        <v>3.0432999999999999</v>
      </c>
      <c r="AF11" s="127">
        <v>2.9076000000000026</v>
      </c>
      <c r="AG11" s="127">
        <v>2.8333999999999975</v>
      </c>
      <c r="AH11" s="127">
        <v>2.8936022454353423</v>
      </c>
      <c r="AI11" s="127">
        <v>2.9958999999999953</v>
      </c>
      <c r="AJ11" s="127">
        <v>3.5191999999999943</v>
      </c>
      <c r="AK11" s="127">
        <v>3.6386000000000003</v>
      </c>
      <c r="AL11" s="127">
        <v>3.5071000000000021</v>
      </c>
      <c r="AM11" s="127">
        <v>3.552099999999994</v>
      </c>
      <c r="AN11" s="127">
        <v>3.7718999999999978</v>
      </c>
      <c r="AO11" s="127">
        <v>3.9488999999999939</v>
      </c>
      <c r="AP11" s="127">
        <v>4.5606999999999998</v>
      </c>
      <c r="AQ11" s="127">
        <v>5.9902000000000015</v>
      </c>
      <c r="AR11" s="127">
        <v>5.2608999999999897</v>
      </c>
      <c r="AS11" s="127">
        <v>5.6284000000000054</v>
      </c>
      <c r="AT11" s="127">
        <v>5.7550999999999899</v>
      </c>
      <c r="AU11" s="127">
        <v>5.6590999999999907</v>
      </c>
      <c r="AV11" s="127">
        <v>5.9401999999999981</v>
      </c>
    </row>
    <row r="13" spans="2:48" ht="20.100000000000001" customHeight="1" x14ac:dyDescent="0.2">
      <c r="B13" s="34" t="s">
        <v>130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2:48" x14ac:dyDescent="0.2">
      <c r="B14" s="33" t="s">
        <v>121</v>
      </c>
      <c r="C14" s="37" t="s">
        <v>84</v>
      </c>
      <c r="D14" s="37">
        <v>2008</v>
      </c>
      <c r="E14" s="37" t="s">
        <v>85</v>
      </c>
      <c r="F14" s="37" t="s">
        <v>86</v>
      </c>
      <c r="G14" s="37" t="s">
        <v>87</v>
      </c>
      <c r="H14" s="37">
        <v>2009</v>
      </c>
      <c r="I14" s="37" t="s">
        <v>88</v>
      </c>
      <c r="J14" s="37" t="s">
        <v>89</v>
      </c>
      <c r="K14" s="37" t="s">
        <v>90</v>
      </c>
      <c r="L14" s="37">
        <v>2010</v>
      </c>
      <c r="M14" s="37" t="s">
        <v>91</v>
      </c>
      <c r="N14" s="37" t="s">
        <v>92</v>
      </c>
      <c r="O14" s="37" t="s">
        <v>93</v>
      </c>
      <c r="P14" s="37">
        <v>2011</v>
      </c>
      <c r="Q14" s="37" t="s">
        <v>94</v>
      </c>
      <c r="R14" s="37" t="s">
        <v>95</v>
      </c>
      <c r="S14" s="37" t="s">
        <v>96</v>
      </c>
      <c r="T14" s="37">
        <v>2012</v>
      </c>
      <c r="U14" s="37" t="s">
        <v>97</v>
      </c>
      <c r="V14" s="37" t="s">
        <v>98</v>
      </c>
      <c r="W14" s="37" t="s">
        <v>99</v>
      </c>
      <c r="X14" s="37">
        <v>2013</v>
      </c>
      <c r="Y14" s="37" t="s">
        <v>100</v>
      </c>
      <c r="Z14" s="37" t="s">
        <v>101</v>
      </c>
      <c r="AA14" s="37" t="s">
        <v>102</v>
      </c>
      <c r="AB14" s="37">
        <v>2014</v>
      </c>
      <c r="AC14" s="37" t="s">
        <v>103</v>
      </c>
      <c r="AD14" s="37" t="s">
        <v>104</v>
      </c>
      <c r="AE14" s="37" t="s">
        <v>105</v>
      </c>
      <c r="AF14" s="37">
        <v>2015</v>
      </c>
      <c r="AG14" s="37" t="s">
        <v>106</v>
      </c>
      <c r="AH14" s="37" t="s">
        <v>107</v>
      </c>
      <c r="AI14" s="37" t="s">
        <v>108</v>
      </c>
      <c r="AJ14" s="37">
        <v>2016</v>
      </c>
      <c r="AK14" s="37" t="s">
        <v>109</v>
      </c>
      <c r="AL14" s="37" t="s">
        <v>110</v>
      </c>
      <c r="AM14" s="37" t="s">
        <v>111</v>
      </c>
      <c r="AN14" s="37">
        <v>2017</v>
      </c>
      <c r="AO14" s="37" t="s">
        <v>112</v>
      </c>
      <c r="AP14" s="37" t="s">
        <v>113</v>
      </c>
      <c r="AQ14" s="37" t="s">
        <v>114</v>
      </c>
      <c r="AR14" s="37">
        <v>2018</v>
      </c>
      <c r="AS14" s="37" t="s">
        <v>187</v>
      </c>
      <c r="AT14" s="37" t="s">
        <v>190</v>
      </c>
      <c r="AU14" s="37" t="s">
        <v>192</v>
      </c>
      <c r="AV14" s="37">
        <v>2019</v>
      </c>
    </row>
    <row r="15" spans="2:48" ht="15" customHeight="1" x14ac:dyDescent="0.2">
      <c r="B15" s="10" t="s">
        <v>122</v>
      </c>
      <c r="C15" s="11">
        <f>'Financial Data - Old Segment'!C16/'Financial Data - Old Seg -USD'!C$10</f>
        <v>1459.033275</v>
      </c>
      <c r="D15" s="11">
        <f>'Financial Data - Old Segment'!D16/'Financial Data - Old Seg -USD'!D$10</f>
        <v>1940.2868045999999</v>
      </c>
      <c r="E15" s="11">
        <f>'Financial Data - Old Segment'!E16/'Financial Data - Old Seg -USD'!E$10</f>
        <v>390.81502609539967</v>
      </c>
      <c r="F15" s="11">
        <f>'Financial Data - Old Segment'!F16/'Financial Data - Old Seg -USD'!F$10</f>
        <v>749.38654191046089</v>
      </c>
      <c r="G15" s="11">
        <f>'Financial Data - Old Segment'!G16/'Financial Data - Old Seg -USD'!G$10</f>
        <v>1149.5650380239999</v>
      </c>
      <c r="H15" s="11">
        <f>'Financial Data - Old Segment'!H16/'Financial Data - Old Seg -USD'!H$10</f>
        <v>1520.3751709859998</v>
      </c>
      <c r="I15" s="11">
        <f>'Financial Data - Old Segment'!I16/'Financial Data - Old Seg -USD'!I$10</f>
        <v>400.82627553000003</v>
      </c>
      <c r="J15" s="11">
        <f>'Financial Data - Old Segment'!J16/'Financial Data - Old Seg -USD'!J$10</f>
        <v>727.63771449599994</v>
      </c>
      <c r="K15" s="11">
        <f>'Financial Data - Old Segment'!K16/'Financial Data - Old Seg -USD'!K$10</f>
        <v>1082.155944285</v>
      </c>
      <c r="L15" s="11">
        <f>'Financial Data - Old Segment'!L16/'Financial Data - Old Seg -USD'!L$10</f>
        <v>1508.762383064</v>
      </c>
      <c r="M15" s="11">
        <f>'Financial Data - Old Segment'!M16/'Financial Data - Old Seg -USD'!M$10</f>
        <v>439.20419964300004</v>
      </c>
      <c r="N15" s="11">
        <f>'Financial Data - Old Segment'!N16/'Financial Data - Old Seg -USD'!N$10</f>
        <v>890.76550321500008</v>
      </c>
      <c r="O15" s="11">
        <f>'Financial Data - Old Segment'!O16/'Financial Data - Old Seg -USD'!O$10</f>
        <v>1352.3742624839999</v>
      </c>
      <c r="P15" s="11">
        <f>'Financial Data - Old Segment'!P16/'Financial Data - Old Seg -USD'!P$10</f>
        <v>1921.9791183560001</v>
      </c>
      <c r="Q15" s="11">
        <f>'Financial Data - Old Segment'!Q16/'Financial Data - Old Seg -USD'!Q$10</f>
        <v>558.79000551000001</v>
      </c>
      <c r="R15" s="11">
        <f>'Financial Data - Old Segment'!R16/'Financial Data - Old Seg -USD'!R$10</f>
        <v>1098.716477812</v>
      </c>
      <c r="S15" s="11">
        <f>'Financial Data - Old Segment'!S16/'Financial Data - Old Seg -USD'!S$10</f>
        <v>1629.598459628</v>
      </c>
      <c r="T15" s="11">
        <f>'Financial Data - Old Segment'!T16/'Financial Data - Old Seg -USD'!T$10</f>
        <v>2203.2886301010003</v>
      </c>
      <c r="U15" s="11">
        <f>'Financial Data - Old Segment'!U16/'Financial Data - Old Seg -USD'!U$10</f>
        <v>594.5794765899999</v>
      </c>
      <c r="V15" s="11">
        <f>'Financial Data - Old Segment'!V16/'Financial Data - Old Seg -USD'!V$10</f>
        <v>1085.980430095638</v>
      </c>
      <c r="W15" s="11">
        <f>'Financial Data - Old Segment'!W16/'Financial Data - Old Seg -USD'!W$10</f>
        <v>1541.04871976</v>
      </c>
      <c r="X15" s="11">
        <f>'Financial Data - Old Segment'!X16/'Financial Data - Old Seg -USD'!X$10</f>
        <v>2020.7188525080001</v>
      </c>
      <c r="Y15" s="11">
        <f>'Financial Data - Old Segment'!Y16/'Financial Data - Old Seg -USD'!Y$10</f>
        <v>518.62819470784757</v>
      </c>
      <c r="Z15" s="11">
        <f>'Financial Data - Old Segment'!Z16/'Financial Data - Old Seg -USD'!Z$10</f>
        <v>990.39761431411603</v>
      </c>
      <c r="AA15" s="11">
        <f>'Financial Data - Old Segment'!AA16/'Financial Data - Old Seg -USD'!AA$10</f>
        <v>1478.7996114349139</v>
      </c>
      <c r="AB15" s="11">
        <f>'Financial Data - Old Segment'!AB16/'Financial Data - Old Seg -USD'!AB$10</f>
        <v>2046.5378458723987</v>
      </c>
      <c r="AC15" s="11">
        <f>'Financial Data - Old Segment'!AC16/'Financial Data - Old Seg -USD'!AC$10</f>
        <v>444.09751332872071</v>
      </c>
      <c r="AD15" s="11">
        <f>'Financial Data - Old Segment'!AD16/'Financial Data - Old Seg -USD'!AD$10</f>
        <v>796.758397006</v>
      </c>
      <c r="AE15" s="11">
        <f>'Financial Data - Old Segment'!AE16/'Financial Data - Old Seg -USD'!AE$10</f>
        <v>1071.6945260146076</v>
      </c>
      <c r="AF15" s="11">
        <f>'Financial Data - Old Segment'!AF16/'Financial Data - Old Seg -USD'!AF$10</f>
        <v>1429.9481446066716</v>
      </c>
      <c r="AG15" s="11">
        <f>'Financial Data - Old Segment'!AG16/'Financial Data - Old Seg -USD'!AG$10</f>
        <v>467.02404025978387</v>
      </c>
      <c r="AH15" s="11">
        <f>'Financial Data - Old Segment'!AH16/'Financial Data - Old Seg -USD'!AH$10</f>
        <v>835.57481912100002</v>
      </c>
      <c r="AI15" s="11">
        <f>'Financial Data - Old Segment'!AI16/'Financial Data - Old Seg -USD'!AI$10</f>
        <v>1164.7934081681381</v>
      </c>
      <c r="AJ15" s="11">
        <f>'Financial Data - Old Segment'!AJ16/'Financial Data - Old Seg -USD'!AJ$10</f>
        <v>1569.6620390311766</v>
      </c>
      <c r="AK15" s="11">
        <f>'Financial Data - Old Segment'!AK16/'Financial Data - Old Seg -USD'!AK$10</f>
        <v>443.28829072790273</v>
      </c>
      <c r="AL15" s="11">
        <f>'Financial Data - Old Segment'!AL16/'Financial Data - Old Seg -USD'!AL$10</f>
        <v>919.87484871822994</v>
      </c>
      <c r="AM15" s="11">
        <f>'Financial Data - Old Segment'!AM16/'Financial Data - Old Seg -USD'!AM$10</f>
        <v>1410.9547528940345</v>
      </c>
      <c r="AN15" s="11">
        <f>'Financial Data - Old Segment'!AN16/'Financial Data - Old Seg -USD'!AN$10</f>
        <v>2054.3649334613829</v>
      </c>
      <c r="AO15" s="11">
        <f>'Financial Data - Old Segment'!AO16/'Financial Data - Old Seg -USD'!AO$10</f>
        <v>594.82569433506671</v>
      </c>
      <c r="AP15" s="11">
        <f>'Financial Data - Old Segment'!AP16/'Financial Data - Old Seg -USD'!AP$10</f>
        <v>1248.7782672540368</v>
      </c>
      <c r="AQ15" s="11">
        <f>'Financial Data - Old Segment'!AQ16/'Financial Data - Old Seg -USD'!AQ$10</f>
        <v>1816.2692307692309</v>
      </c>
      <c r="AR15" s="11">
        <f>'Financial Data - Old Segment'!AR16/'Financial Data - Old Seg -USD'!AR$10</f>
        <v>2514.8901679054256</v>
      </c>
      <c r="AS15" s="11">
        <f>'Financial Data - Old Segment'!AS16/'Financial Data - Old Seg -USD'!AS$10</f>
        <v>855.40994611124665</v>
      </c>
      <c r="AT15" s="11">
        <f>'Financial Data - Old Segment'!AT16/'Financial Data - Old Seg -USD'!AT$10</f>
        <v>1477.9940210331511</v>
      </c>
      <c r="AU15" s="11">
        <f>'Financial Data - Old Segment'!AU16/'Financial Data - Old Seg -USD'!AU$10</f>
        <v>2005.1856650928282</v>
      </c>
      <c r="AV15" s="11">
        <f>'Financial Data - Old Segment'!AV16/'Financial Data - Old Seg -USD'!AV$10</f>
        <v>2575.0024686133497</v>
      </c>
    </row>
    <row r="16" spans="2:48" ht="15" customHeight="1" x14ac:dyDescent="0.2">
      <c r="B16" s="40" t="s">
        <v>123</v>
      </c>
      <c r="C16" s="13">
        <f>'Financial Data - Old Segment'!C17/'Financial Data - Old Seg -USD'!C$10</f>
        <v>300.43597920000002</v>
      </c>
      <c r="D16" s="13">
        <f>'Financial Data - Old Segment'!D17/'Financial Data - Old Seg -USD'!D$10</f>
        <v>243.50189399999999</v>
      </c>
      <c r="E16" s="13">
        <f>'Financial Data - Old Segment'!E17/'Financial Data - Old Seg -USD'!E$10</f>
        <v>69.463527127078493</v>
      </c>
      <c r="F16" s="13">
        <f>'Financial Data - Old Segment'!F17/'Financial Data - Old Seg -USD'!F$10</f>
        <v>78.347334684950738</v>
      </c>
      <c r="G16" s="13">
        <f>'Financial Data - Old Segment'!G17/'Financial Data - Old Seg -USD'!G$10</f>
        <v>130.120925564</v>
      </c>
      <c r="H16" s="13">
        <f>'Financial Data - Old Segment'!H17/'Financial Data - Old Seg -USD'!H$10</f>
        <v>181.40592351699999</v>
      </c>
      <c r="I16" s="13">
        <f>'Financial Data - Old Segment'!I17/'Financial Data - Old Seg -USD'!I$10</f>
        <v>90.854435169999988</v>
      </c>
      <c r="J16" s="13">
        <f>'Financial Data - Old Segment'!J17/'Financial Data - Old Seg -USD'!J$10</f>
        <v>149.410057104</v>
      </c>
      <c r="K16" s="13">
        <f>'Financial Data - Old Segment'!K17/'Financial Data - Old Seg -USD'!K$10</f>
        <v>197.41040363600001</v>
      </c>
      <c r="L16" s="13">
        <f>'Financial Data - Old Segment'!L17/'Financial Data - Old Seg -USD'!L$10</f>
        <v>268.42274239799997</v>
      </c>
      <c r="M16" s="13">
        <f>'Financial Data - Old Segment'!M17/'Financial Data - Old Seg -USD'!M$10</f>
        <v>82.779066711000013</v>
      </c>
      <c r="N16" s="13">
        <f>'Financial Data - Old Segment'!N17/'Financial Data - Old Seg -USD'!N$10</f>
        <v>164.90178043500001</v>
      </c>
      <c r="O16" s="13">
        <f>'Financial Data - Old Segment'!O17/'Financial Data - Old Seg -USD'!O$10</f>
        <v>230.83130557200002</v>
      </c>
      <c r="P16" s="13">
        <f>'Financial Data - Old Segment'!P17/'Financial Data - Old Seg -USD'!P$10</f>
        <v>300.13123484400001</v>
      </c>
      <c r="Q16" s="13">
        <f>'Financial Data - Old Segment'!Q17/'Financial Data - Old Seg -USD'!Q$10</f>
        <v>72.734733719999994</v>
      </c>
      <c r="R16" s="13">
        <f>'Financial Data - Old Segment'!R17/'Financial Data - Old Seg -USD'!R$10</f>
        <v>139.50599407600001</v>
      </c>
      <c r="S16" s="13">
        <f>'Financial Data - Old Segment'!S17/'Financial Data - Old Seg -USD'!S$10</f>
        <v>187.14341732300002</v>
      </c>
      <c r="T16" s="13">
        <f>'Financial Data - Old Segment'!T17/'Financial Data - Old Seg -USD'!T$10</f>
        <v>214.96579392600003</v>
      </c>
      <c r="U16" s="13">
        <f>'Financial Data - Old Segment'!U17/'Financial Data - Old Seg -USD'!U$10</f>
        <v>89.364138784999994</v>
      </c>
      <c r="V16" s="13">
        <f>'Financial Data - Old Segment'!V17/'Financial Data - Old Seg -USD'!V$10</f>
        <v>49.133174857648278</v>
      </c>
      <c r="W16" s="13">
        <f>'Financial Data - Old Segment'!W17/'Financial Data - Old Seg -USD'!W$10</f>
        <v>77.418248984999991</v>
      </c>
      <c r="X16" s="13">
        <f>'Financial Data - Old Segment'!X17/'Financial Data - Old Seg -USD'!X$10</f>
        <v>66.848074495999995</v>
      </c>
      <c r="Y16" s="13">
        <f>'Financial Data - Old Segment'!Y17/'Financial Data - Old Seg -USD'!Y$10</f>
        <v>97.331798067370997</v>
      </c>
      <c r="Z16" s="13">
        <f>'Financial Data - Old Segment'!Z17/'Financial Data - Old Seg -USD'!Z$10</f>
        <v>148.08729021221521</v>
      </c>
      <c r="AA16" s="13">
        <f>'Financial Data - Old Segment'!AA17/'Financial Data - Old Seg -USD'!AA$10</f>
        <v>197.36377093163085</v>
      </c>
      <c r="AB16" s="13">
        <f>'Financial Data - Old Segment'!AB17/'Financial Data - Old Seg -USD'!AB$10</f>
        <v>206.91699062428538</v>
      </c>
      <c r="AC16" s="13">
        <f>'Financial Data - Old Segment'!AC17/'Financial Data - Old Seg -USD'!AC$10</f>
        <v>46.899190102152929</v>
      </c>
      <c r="AD16" s="13">
        <f>'Financial Data - Old Segment'!AD17/'Financial Data - Old Seg -USD'!AD$10</f>
        <v>82.971079047999993</v>
      </c>
      <c r="AE16" s="13">
        <f>'Financial Data - Old Segment'!AE17/'Financial Data - Old Seg -USD'!AE$10</f>
        <v>121.27324749642347</v>
      </c>
      <c r="AF16" s="13">
        <f>'Financial Data - Old Segment'!AF17/'Financial Data - Old Seg -USD'!AF$10</f>
        <v>150.37107866573501</v>
      </c>
      <c r="AG16" s="13">
        <f>'Financial Data - Old Segment'!AG17/'Financial Data - Old Seg -USD'!AG$10</f>
        <v>75.89275391886828</v>
      </c>
      <c r="AH16" s="13">
        <f>'Financial Data - Old Segment'!AH17/'Financial Data - Old Seg -USD'!AH$10</f>
        <v>127.82128355499999</v>
      </c>
      <c r="AI16" s="13">
        <f>'Financial Data - Old Segment'!AI17/'Financial Data - Old Seg -USD'!AI$10</f>
        <v>151.95332491726074</v>
      </c>
      <c r="AJ16" s="13">
        <f>'Financial Data - Old Segment'!AJ17/'Financial Data - Old Seg -USD'!AJ$10</f>
        <v>216.54186408667678</v>
      </c>
      <c r="AK16" s="13">
        <f>'Financial Data - Old Segment'!AK17/'Financial Data - Old Seg -USD'!AK$10</f>
        <v>71.946219670710548</v>
      </c>
      <c r="AL16" s="13">
        <f>'Financial Data - Old Segment'!AL17/'Financial Data - Old Seg -USD'!AL$10</f>
        <v>137.20871382990416</v>
      </c>
      <c r="AM16" s="13">
        <f>'Financial Data - Old Segment'!AM17/'Financial Data - Old Seg -USD'!AM$10</f>
        <v>203.83542965271604</v>
      </c>
      <c r="AN16" s="13">
        <f>'Financial Data - Old Segment'!AN17/'Financial Data - Old Seg -USD'!AN$10</f>
        <v>282.18822883797537</v>
      </c>
      <c r="AO16" s="13">
        <f>'Financial Data - Old Segment'!AO17/'Financial Data - Old Seg -USD'!AO$10</f>
        <v>89.48915839764804</v>
      </c>
      <c r="AP16" s="13">
        <f>'Financial Data - Old Segment'!AP17/'Financial Data - Old Seg -USD'!AP$10</f>
        <v>179.57586882036199</v>
      </c>
      <c r="AQ16" s="13">
        <f>'Financial Data - Old Segment'!AQ17/'Financial Data - Old Seg -USD'!AQ$10</f>
        <v>264.53650586701474</v>
      </c>
      <c r="AR16" s="13">
        <f>'Financial Data - Old Segment'!AR17/'Financial Data - Old Seg -USD'!AR$10</f>
        <v>373.35500300200812</v>
      </c>
      <c r="AS16" s="13">
        <f>'Financial Data - Old Segment'!AS17/'Financial Data - Old Seg -USD'!AS$10</f>
        <v>198.34268772492516</v>
      </c>
      <c r="AT16" s="13">
        <f>'Financial Data - Old Segment'!AT17/'Financial Data - Old Seg -USD'!AT$10</f>
        <v>290.5843728312899</v>
      </c>
      <c r="AU16" s="13">
        <f>'Financial Data - Old Segment'!AU17/'Financial Data - Old Seg -USD'!AU$10</f>
        <v>381.19226809613326</v>
      </c>
      <c r="AV16" s="13">
        <f>'Financial Data - Old Segment'!AV17/'Financial Data - Old Seg -USD'!AV$10</f>
        <v>423.46628579489436</v>
      </c>
    </row>
    <row r="17" spans="1:48" ht="15" customHeight="1" x14ac:dyDescent="0.2">
      <c r="B17" s="24" t="s">
        <v>124</v>
      </c>
      <c r="C17" s="44">
        <f t="shared" ref="C17:AL17" si="0">+C16/C15</f>
        <v>0.20591441219872111</v>
      </c>
      <c r="D17" s="44">
        <f t="shared" si="0"/>
        <v>0.12549788692203118</v>
      </c>
      <c r="E17" s="44">
        <f t="shared" si="0"/>
        <v>0.17774016475539028</v>
      </c>
      <c r="F17" s="44">
        <f t="shared" si="0"/>
        <v>0.10454862784860623</v>
      </c>
      <c r="G17" s="44">
        <f t="shared" si="0"/>
        <v>0.11319144307630154</v>
      </c>
      <c r="H17" s="44">
        <f t="shared" si="0"/>
        <v>0.11931655224240073</v>
      </c>
      <c r="I17" s="44">
        <f t="shared" si="0"/>
        <v>0.22666786265412869</v>
      </c>
      <c r="J17" s="44">
        <f t="shared" si="0"/>
        <v>0.20533577923113736</v>
      </c>
      <c r="K17" s="44">
        <f t="shared" si="0"/>
        <v>0.18242324932792622</v>
      </c>
      <c r="L17" s="44">
        <f t="shared" si="0"/>
        <v>0.17790922242698423</v>
      </c>
      <c r="M17" s="44">
        <f t="shared" si="0"/>
        <v>0.1884751256438022</v>
      </c>
      <c r="N17" s="44">
        <f t="shared" si="0"/>
        <v>0.18512367153849962</v>
      </c>
      <c r="O17" s="44">
        <f t="shared" si="0"/>
        <v>0.17068596465893701</v>
      </c>
      <c r="P17" s="44">
        <f t="shared" si="0"/>
        <v>0.1561573858829032</v>
      </c>
      <c r="Q17" s="44">
        <f t="shared" si="0"/>
        <v>0.13016470051860715</v>
      </c>
      <c r="R17" s="44">
        <f t="shared" si="0"/>
        <v>0.12697178652841748</v>
      </c>
      <c r="S17" s="44">
        <f t="shared" si="0"/>
        <v>0.11484020263845891</v>
      </c>
      <c r="T17" s="44">
        <f t="shared" si="0"/>
        <v>9.756587992565724E-2</v>
      </c>
      <c r="U17" s="44">
        <f t="shared" si="0"/>
        <v>0.15029805484965</v>
      </c>
      <c r="V17" s="44">
        <f t="shared" si="0"/>
        <v>4.5243149412297713E-2</v>
      </c>
      <c r="W17" s="44">
        <f t="shared" si="0"/>
        <v>5.0237379254990042E-2</v>
      </c>
      <c r="X17" s="44">
        <f t="shared" si="0"/>
        <v>3.3081333612061871E-2</v>
      </c>
      <c r="Y17" s="44">
        <f t="shared" si="0"/>
        <v>0.1876716288480994</v>
      </c>
      <c r="Z17" s="44">
        <f t="shared" si="0"/>
        <v>0.14952306838377299</v>
      </c>
      <c r="AA17" s="44">
        <f t="shared" si="0"/>
        <v>0.13346214686932745</v>
      </c>
      <c r="AB17" s="44">
        <f t="shared" si="0"/>
        <v>0.10110587060073679</v>
      </c>
      <c r="AC17" s="44">
        <f t="shared" si="0"/>
        <v>0.10560561294437643</v>
      </c>
      <c r="AD17" s="44">
        <f t="shared" si="0"/>
        <v>0.10413580749168455</v>
      </c>
      <c r="AE17" s="44">
        <f t="shared" si="0"/>
        <v>0.11316027520212459</v>
      </c>
      <c r="AF17" s="44">
        <f t="shared" si="0"/>
        <v>0.10515841377387626</v>
      </c>
      <c r="AG17" s="44">
        <f t="shared" si="0"/>
        <v>0.16250288502633109</v>
      </c>
      <c r="AH17" s="44">
        <f t="shared" si="0"/>
        <v>0.15297407321281439</v>
      </c>
      <c r="AI17" s="44">
        <f t="shared" si="0"/>
        <v>0.13045517243803484</v>
      </c>
      <c r="AJ17" s="44">
        <f t="shared" si="0"/>
        <v>0.13795445051364705</v>
      </c>
      <c r="AK17" s="44">
        <f t="shared" si="0"/>
        <v>0.16230119580323465</v>
      </c>
      <c r="AL17" s="44">
        <f t="shared" si="0"/>
        <v>0.1491601971954046</v>
      </c>
      <c r="AM17" s="44">
        <f>+AM16/AM15</f>
        <v>0.14446631207317281</v>
      </c>
      <c r="AN17" s="44">
        <f>+AN16/AN15</f>
        <v>0.13736032203515017</v>
      </c>
      <c r="AO17" s="44">
        <f>+AO16/AO15</f>
        <v>0.15044602015332342</v>
      </c>
      <c r="AP17" s="44">
        <f>+AP16/AP15</f>
        <v>0.14380124440765207</v>
      </c>
      <c r="AQ17" s="44">
        <f>+AQ16/AQ15</f>
        <v>0.14564828902319596</v>
      </c>
      <c r="AR17" s="44">
        <f t="shared" ref="AR17:AV17" si="1">+AR16/AR15</f>
        <v>0.14845777671196034</v>
      </c>
      <c r="AS17" s="44">
        <f t="shared" si="1"/>
        <v>0.23186857789835724</v>
      </c>
      <c r="AT17" s="44">
        <f t="shared" si="1"/>
        <v>0.19660727221898022</v>
      </c>
      <c r="AU17" s="44">
        <f t="shared" si="1"/>
        <v>0.19010322821078332</v>
      </c>
      <c r="AV17" s="44">
        <f t="shared" si="1"/>
        <v>0.16445276886391991</v>
      </c>
    </row>
    <row r="18" spans="1:48" ht="15" customHeight="1" x14ac:dyDescent="0.2">
      <c r="B18" s="40" t="s">
        <v>125</v>
      </c>
      <c r="C18" s="45">
        <f>'Financial Data - Old Segment'!C19/'Financial Data - Old Seg -USD'!C$10</f>
        <v>216.30806520000002</v>
      </c>
      <c r="D18" s="45">
        <f>'Financial Data - Old Segment'!D19/'Financial Data - Old Seg -USD'!D$10</f>
        <v>131.02280619999999</v>
      </c>
      <c r="E18" s="45">
        <f>'Financial Data - Old Segment'!E19/'Financial Data - Old Seg -USD'!E$10</f>
        <v>46.833960432091246</v>
      </c>
      <c r="F18" s="45">
        <f>'Financial Data - Old Segment'!F19/'Financial Data - Old Seg -USD'!F$10</f>
        <v>34.57197981658198</v>
      </c>
      <c r="G18" s="45">
        <f>'Financial Data - Old Segment'!G19/'Financial Data - Old Seg -USD'!G$10</f>
        <v>61.290792596000003</v>
      </c>
      <c r="H18" s="45">
        <f>'Financial Data - Old Segment'!H19/'Financial Data - Old Seg -USD'!H$10</f>
        <v>81.163845293999998</v>
      </c>
      <c r="I18" s="45">
        <f>'Financial Data - Old Segment'!I19/'Financial Data - Old Seg -USD'!I$10</f>
        <v>58.035328650000004</v>
      </c>
      <c r="J18" s="45">
        <f>'Financial Data - Old Segment'!J19/'Financial Data - Old Seg -USD'!J$10</f>
        <v>93.384912851999999</v>
      </c>
      <c r="K18" s="45">
        <f>'Financial Data - Old Segment'!K19/'Financial Data - Old Seg -USD'!K$10</f>
        <v>114.52294518900001</v>
      </c>
      <c r="L18" s="45">
        <f>'Financial Data - Old Segment'!L19/'Financial Data - Old Seg -USD'!L$10</f>
        <v>150.71453544799999</v>
      </c>
      <c r="M18" s="45">
        <f>'Financial Data - Old Segment'!M19/'Financial Data - Old Seg -USD'!M$10</f>
        <v>50.388531336000007</v>
      </c>
      <c r="N18" s="45">
        <f>'Financial Data - Old Segment'!N19/'Financial Data - Old Seg -USD'!N$10</f>
        <v>102.50938057500001</v>
      </c>
      <c r="O18" s="45">
        <f>'Financial Data - Old Segment'!O19/'Financial Data - Old Seg -USD'!O$10</f>
        <v>146.38655581200001</v>
      </c>
      <c r="P18" s="45">
        <f>'Financial Data - Old Segment'!P19/'Financial Data - Old Seg -USD'!P$10</f>
        <v>180.93497789599999</v>
      </c>
      <c r="Q18" s="45">
        <f>'Financial Data - Old Segment'!Q19/'Financial Data - Old Seg -USD'!Q$10</f>
        <v>57.422716890000004</v>
      </c>
      <c r="R18" s="45">
        <f>'Financial Data - Old Segment'!R19/'Financial Data - Old Seg -USD'!R$10</f>
        <v>95.750766800999997</v>
      </c>
      <c r="S18" s="45">
        <f>'Financial Data - Old Segment'!S19/'Financial Data - Old Seg -USD'!S$10</f>
        <v>119.81374447</v>
      </c>
      <c r="T18" s="45">
        <f>'Financial Data - Old Segment'!T19/'Financial Data - Old Seg -USD'!T$10</f>
        <v>111.62026675800001</v>
      </c>
      <c r="U18" s="45">
        <f>'Financial Data - Old Segment'!U19/'Financial Data - Old Seg -USD'!U$10</f>
        <v>60.15502108199999</v>
      </c>
      <c r="V18" s="45">
        <f>'Financial Data - Old Segment'!V19/'Financial Data - Old Seg -USD'!V$10</f>
        <v>-24.248991099563263</v>
      </c>
      <c r="W18" s="45">
        <f>'Financial Data - Old Segment'!W19/'Financial Data - Old Seg -USD'!W$10</f>
        <v>-21.822082040000002</v>
      </c>
      <c r="X18" s="45">
        <f>'Financial Data - Old Segment'!X19/'Financial Data - Old Seg -USD'!X$10</f>
        <v>-64.911964440999995</v>
      </c>
      <c r="Y18" s="45">
        <f>'Financial Data - Old Segment'!Y19/'Financial Data - Old Seg -USD'!Y$10</f>
        <v>63.174839700171546</v>
      </c>
      <c r="Z18" s="45">
        <f>'Financial Data - Old Segment'!Z19/'Financial Data - Old Seg -USD'!Z$10</f>
        <v>93.917888020713008</v>
      </c>
      <c r="AA18" s="45">
        <f>'Financial Data - Old Segment'!AA19/'Financial Data - Old Seg -USD'!AA$10</f>
        <v>119.93847719493004</v>
      </c>
      <c r="AB18" s="45">
        <f>'Financial Data - Old Segment'!AB19/'Financial Data - Old Seg -USD'!AB$10</f>
        <v>11.211982620626571</v>
      </c>
      <c r="AC18" s="45">
        <f>'Financial Data - Old Segment'!AC19/'Financial Data - Old Seg -USD'!AC$10</f>
        <v>10.873794310365874</v>
      </c>
      <c r="AD18" s="45">
        <f>'Financial Data - Old Segment'!AD19/'Financial Data - Old Seg -USD'!AD$10</f>
        <v>22.451351636999998</v>
      </c>
      <c r="AE18" s="45">
        <f>'Financial Data - Old Segment'!AE19/'Financial Data - Old Seg -USD'!AE$10</f>
        <v>26.363602138393198</v>
      </c>
      <c r="AF18" s="45">
        <f>'Financial Data - Old Segment'!AF19/'Financial Data - Old Seg -USD'!AF$10</f>
        <v>42.853517708065176</v>
      </c>
      <c r="AG18" s="45">
        <f>'Financial Data - Old Segment'!AG19/'Financial Data - Old Seg -USD'!AG$10</f>
        <v>56.370498826889659</v>
      </c>
      <c r="AH18" s="45">
        <f>'Financial Data - Old Segment'!AH19/'Financial Data - Old Seg -USD'!AH$10</f>
        <v>85.643121434999998</v>
      </c>
      <c r="AI18" s="45">
        <f>'Financial Data - Old Segment'!AI19/'Financial Data - Old Seg -USD'!AI$10</f>
        <v>86.107339042614797</v>
      </c>
      <c r="AJ18" s="45">
        <f>'Financial Data - Old Segment'!AJ19/'Financial Data - Old Seg -USD'!AJ$10</f>
        <v>103.8047115735064</v>
      </c>
      <c r="AK18" s="45">
        <f>'Financial Data - Old Segment'!AK19/'Financial Data - Old Seg -USD'!AK$10</f>
        <v>44.321382149046777</v>
      </c>
      <c r="AL18" s="45">
        <f>'Financial Data - Old Segment'!AL19/'Financial Data - Old Seg -USD'!AL$10</f>
        <v>119.2111343382109</v>
      </c>
      <c r="AM18" s="45">
        <f>'Financial Data - Old Segment'!AM19/'Financial Data - Old Seg -USD'!AM$10</f>
        <v>157.59349955476409</v>
      </c>
      <c r="AN18" s="45">
        <f>'Financial Data - Old Segment'!AN19/'Financial Data - Old Seg -USD'!AN$10</f>
        <v>213.52640965838961</v>
      </c>
      <c r="AO18" s="45">
        <f>'Financial Data - Old Segment'!AO19/'Financial Data - Old Seg -USD'!AO$10</f>
        <v>55.494303564865938</v>
      </c>
      <c r="AP18" s="45">
        <f>'Financial Data - Old Segment'!AP19/'Financial Data - Old Seg -USD'!AP$10</f>
        <v>93.979441997063034</v>
      </c>
      <c r="AQ18" s="45">
        <f>'Financial Data - Old Segment'!AQ19/'Financial Data - Old Seg -USD'!AQ$10</f>
        <v>107.16883963494173</v>
      </c>
      <c r="AR18" s="45">
        <f>'Financial Data - Old Segment'!AR19/'Financial Data - Old Seg -USD'!AR$10</f>
        <v>230.23581292312778</v>
      </c>
      <c r="AS18" s="45">
        <f>'Financial Data - Old Segment'!AS19/'Financial Data - Old Seg -USD'!AS$10</f>
        <v>158.75440526580783</v>
      </c>
      <c r="AT18" s="45">
        <f>'Financial Data - Old Segment'!AT19/'Financial Data - Old Seg -USD'!AT$10</f>
        <v>228.39101731409147</v>
      </c>
      <c r="AU18" s="45">
        <f>'Financial Data - Old Segment'!AU19/'Financial Data - Old Seg -USD'!AU$10</f>
        <v>285.1741275870632</v>
      </c>
      <c r="AV18" s="45">
        <f>'Financial Data - Old Segment'!AV19/'Financial Data - Old Seg -USD'!AV$10</f>
        <v>282.72517280293471</v>
      </c>
    </row>
    <row r="19" spans="1:48" ht="15" customHeight="1" x14ac:dyDescent="0.2">
      <c r="B19" s="24" t="s">
        <v>124</v>
      </c>
      <c r="C19" s="44">
        <f t="shared" ref="C19:AL19" si="2">+C18/C15</f>
        <v>0.1482543742533905</v>
      </c>
      <c r="D19" s="44">
        <f t="shared" si="2"/>
        <v>6.7527545870730704E-2</v>
      </c>
      <c r="E19" s="44">
        <f t="shared" si="2"/>
        <v>0.11983664215781424</v>
      </c>
      <c r="F19" s="44">
        <f t="shared" si="2"/>
        <v>4.6133707883845014E-2</v>
      </c>
      <c r="G19" s="44">
        <f t="shared" si="2"/>
        <v>5.3316507173316111E-2</v>
      </c>
      <c r="H19" s="44">
        <f t="shared" si="2"/>
        <v>5.3384090218576312E-2</v>
      </c>
      <c r="I19" s="44">
        <f t="shared" si="2"/>
        <v>0.14478923212621655</v>
      </c>
      <c r="J19" s="44">
        <f t="shared" si="2"/>
        <v>0.12833984686552879</v>
      </c>
      <c r="K19" s="44">
        <f t="shared" si="2"/>
        <v>0.10582850447184615</v>
      </c>
      <c r="L19" s="44">
        <f t="shared" si="2"/>
        <v>9.9892824171509617E-2</v>
      </c>
      <c r="M19" s="44">
        <f t="shared" si="2"/>
        <v>0.11472688871590368</v>
      </c>
      <c r="N19" s="44">
        <f t="shared" si="2"/>
        <v>0.11508009706821547</v>
      </c>
      <c r="O19" s="44">
        <f t="shared" si="2"/>
        <v>0.1082441154589275</v>
      </c>
      <c r="P19" s="44">
        <f t="shared" si="2"/>
        <v>9.4139929080377327E-2</v>
      </c>
      <c r="Q19" s="44">
        <f t="shared" si="2"/>
        <v>0.10276260549361664</v>
      </c>
      <c r="R19" s="44">
        <f t="shared" si="2"/>
        <v>8.7147839078266551E-2</v>
      </c>
      <c r="S19" s="44">
        <f t="shared" si="2"/>
        <v>7.352347675718271E-2</v>
      </c>
      <c r="T19" s="44">
        <f t="shared" si="2"/>
        <v>5.066075557830263E-2</v>
      </c>
      <c r="U19" s="44">
        <f t="shared" si="2"/>
        <v>0.10117238056550122</v>
      </c>
      <c r="V19" s="44">
        <f t="shared" si="2"/>
        <v>-2.2329123460749428E-2</v>
      </c>
      <c r="W19" s="44">
        <f t="shared" si="2"/>
        <v>-1.4160540001226263E-2</v>
      </c>
      <c r="X19" s="44">
        <f t="shared" si="2"/>
        <v>-3.2123204254978367E-2</v>
      </c>
      <c r="Y19" s="44">
        <f t="shared" si="2"/>
        <v>0.12181142549675505</v>
      </c>
      <c r="Z19" s="44">
        <f t="shared" si="2"/>
        <v>9.482846754003374E-2</v>
      </c>
      <c r="AA19" s="44">
        <f t="shared" si="2"/>
        <v>8.1105293961060032E-2</v>
      </c>
      <c r="AB19" s="44">
        <f t="shared" si="2"/>
        <v>5.478512231395909E-3</v>
      </c>
      <c r="AC19" s="44">
        <f t="shared" si="2"/>
        <v>2.4485150184385514E-2</v>
      </c>
      <c r="AD19" s="44">
        <f t="shared" si="2"/>
        <v>2.8178368400466232E-2</v>
      </c>
      <c r="AE19" s="44">
        <f t="shared" si="2"/>
        <v>2.4599922364475949E-2</v>
      </c>
      <c r="AF19" s="44">
        <f t="shared" si="2"/>
        <v>2.9968581636820594E-2</v>
      </c>
      <c r="AG19" s="44">
        <f t="shared" si="2"/>
        <v>0.12070149278725215</v>
      </c>
      <c r="AH19" s="44">
        <f t="shared" si="2"/>
        <v>0.10249605358511645</v>
      </c>
      <c r="AI19" s="44">
        <f t="shared" si="2"/>
        <v>7.3924988275848133E-2</v>
      </c>
      <c r="AJ19" s="44">
        <f t="shared" si="2"/>
        <v>6.6131886350246777E-2</v>
      </c>
      <c r="AK19" s="44">
        <f t="shared" si="2"/>
        <v>9.9983200720841811E-2</v>
      </c>
      <c r="AL19" s="44">
        <f t="shared" si="2"/>
        <v>0.12959494925241388</v>
      </c>
      <c r="AM19" s="44">
        <f>+AM18/AM15</f>
        <v>0.11169280888102276</v>
      </c>
      <c r="AN19" s="44">
        <f>+AN18/AN15</f>
        <v>0.10393791588849829</v>
      </c>
      <c r="AO19" s="44">
        <f>+AO18/AO15</f>
        <v>9.3295067939021925E-2</v>
      </c>
      <c r="AP19" s="44">
        <f>+AP18/AP15</f>
        <v>7.5257108857056179E-2</v>
      </c>
      <c r="AQ19" s="44">
        <f>+AQ18/AQ15</f>
        <v>5.9004930447207608E-2</v>
      </c>
      <c r="AR19" s="44">
        <f t="shared" ref="AR19:AV19" si="3">+AR18/AR15</f>
        <v>9.1549052861773311E-2</v>
      </c>
      <c r="AS19" s="44">
        <f t="shared" si="3"/>
        <v>0.18558868293210343</v>
      </c>
      <c r="AT19" s="44">
        <f t="shared" si="3"/>
        <v>0.15452770042631228</v>
      </c>
      <c r="AU19" s="44">
        <f t="shared" si="3"/>
        <v>0.14221831551636457</v>
      </c>
      <c r="AV19" s="44">
        <f t="shared" si="3"/>
        <v>0.10979607835295919</v>
      </c>
    </row>
    <row r="20" spans="1:48" ht="15" customHeight="1" x14ac:dyDescent="0.2">
      <c r="B20" s="40" t="s">
        <v>126</v>
      </c>
      <c r="C20" s="41">
        <f>'Financial Data - Old Segment'!C21/'Financial Data - Old Seg -USD'!C$10</f>
        <v>255.0822</v>
      </c>
      <c r="D20" s="41">
        <f>'Financial Data - Old Segment'!D21/'Financial Data - Old Seg -USD'!D$10</f>
        <v>190.33819999999997</v>
      </c>
      <c r="E20" s="41">
        <f>'Financial Data - Old Segment'!E21/'Financial Data - Old Seg -USD'!E$10</f>
        <v>56.438888214589113</v>
      </c>
      <c r="F20" s="41">
        <f>'Financial Data - Old Segment'!F21/'Financial Data - Old Seg -USD'!F$10</f>
        <v>56.05358020307299</v>
      </c>
      <c r="G20" s="41">
        <f>'Financial Data - Old Segment'!G21/'Financial Data - Old Seg -USD'!G$10</f>
        <v>96.969008000000002</v>
      </c>
      <c r="H20" s="41">
        <f>'Financial Data - Old Segment'!H21/'Financial Data - Old Seg -USD'!H$10</f>
        <v>130.68612200000001</v>
      </c>
      <c r="I20" s="41">
        <f>'Financial Data - Old Segment'!I21/'Financial Data - Old Seg -USD'!I$10</f>
        <v>71.907479999999993</v>
      </c>
      <c r="J20" s="41">
        <f>'Financial Data - Old Segment'!J21/'Financial Data - Old Seg -USD'!J$10</f>
        <v>116.06918399999999</v>
      </c>
      <c r="K20" s="41">
        <f>'Financial Data - Old Segment'!K21/'Financial Data - Old Seg -USD'!K$10</f>
        <v>147.27388300000001</v>
      </c>
      <c r="L20" s="41">
        <f>'Financial Data - Old Segment'!L21/'Financial Data - Old Seg -USD'!L$10</f>
        <v>199.46020899999999</v>
      </c>
      <c r="M20" s="41">
        <f>'Financial Data - Old Segment'!M21/'Financial Data - Old Seg -USD'!M$10</f>
        <v>59.846886000000005</v>
      </c>
      <c r="N20" s="41">
        <f>'Financial Data - Old Segment'!N21/'Financial Data - Old Seg -USD'!N$10</f>
        <v>120.83620500000001</v>
      </c>
      <c r="O20" s="41">
        <f>'Financial Data - Old Segment'!O21/'Financial Data - Old Seg -USD'!O$10</f>
        <v>174.27853800000003</v>
      </c>
      <c r="P20" s="41">
        <f>'Financial Data - Old Segment'!P21/'Financial Data - Old Seg -USD'!P$10</f>
        <v>216.66279200000002</v>
      </c>
      <c r="Q20" s="41">
        <f>'Financial Data - Old Segment'!Q21/'Financial Data - Old Seg -USD'!Q$10</f>
        <v>54.192929999999997</v>
      </c>
      <c r="R20" s="41">
        <f>'Financial Data - Old Segment'!R21/'Financial Data - Old Seg -USD'!R$10</f>
        <v>108.168386</v>
      </c>
      <c r="S20" s="41">
        <f>'Financial Data - Old Segment'!S21/'Financial Data - Old Seg -USD'!S$10</f>
        <v>146.02596199999999</v>
      </c>
      <c r="T20" s="41">
        <f>'Financial Data - Old Segment'!T21/'Financial Data - Old Seg -USD'!T$10</f>
        <v>156.79041300000003</v>
      </c>
      <c r="U20" s="41">
        <f>'Financial Data - Old Segment'!U21/'Financial Data - Old Seg -USD'!U$10</f>
        <v>67.966062999999991</v>
      </c>
      <c r="V20" s="41">
        <f>'Financial Data - Old Segment'!V21/'Financial Data - Old Seg -USD'!V$10</f>
        <v>11.056443142241138</v>
      </c>
      <c r="W20" s="41">
        <f>'Financial Data - Old Segment'!W21/'Financial Data - Old Seg -USD'!W$10</f>
        <v>31.674444999999999</v>
      </c>
      <c r="X20" s="41">
        <f>'Financial Data - Old Segment'!X21/'Financial Data - Old Seg -USD'!X$10</f>
        <v>5.2540300000000002</v>
      </c>
      <c r="Y20" s="41">
        <f>'Financial Data - Old Segment'!Y21/'Financial Data - Old Seg -USD'!Y$10</f>
        <v>76.311749300099279</v>
      </c>
      <c r="Z20" s="41">
        <f>'Financial Data - Old Segment'!Z21/'Financial Data - Old Seg -USD'!Z$10</f>
        <v>116.04789865458422</v>
      </c>
      <c r="AA20" s="41">
        <f>'Financial Data - Old Segment'!AA21/'Financial Data - Old Seg -USD'!AA$10</f>
        <v>154.96345637894331</v>
      </c>
      <c r="AB20" s="41">
        <f>'Financial Data - Old Segment'!AB21/'Financial Data - Old Seg -USD'!AB$10</f>
        <v>85.982163274639831</v>
      </c>
      <c r="AC20" s="41">
        <f>'Financial Data - Old Segment'!AC21/'Financial Data - Old Seg -USD'!AC$10</f>
        <v>30.116804362866784</v>
      </c>
      <c r="AD20" s="41">
        <f>'Financial Data - Old Segment'!AD21/'Financial Data - Old Seg -USD'!AD$10</f>
        <v>61.313681000000003</v>
      </c>
      <c r="AE20" s="41">
        <f>'Financial Data - Old Segment'!AE21/'Financial Data - Old Seg -USD'!AE$10</f>
        <v>92.989985693848368</v>
      </c>
      <c r="AF20" s="41">
        <f>'Financial Data - Old Segment'!AF21/'Financial Data - Old Seg -USD'!AF$10</f>
        <v>108.12401162149241</v>
      </c>
      <c r="AG20" s="41">
        <f>'Financial Data - Old Segment'!AG21/'Financial Data - Old Seg -USD'!AG$10</f>
        <v>63.585977081845613</v>
      </c>
      <c r="AH20" s="41">
        <f>'Financial Data - Old Segment'!AH21/'Financial Data - Old Seg -USD'!AH$10</f>
        <v>102.464011</v>
      </c>
      <c r="AI20" s="41">
        <f>'Financial Data - Old Segment'!AI21/'Financial Data - Old Seg -USD'!AI$10</f>
        <v>119.07605172472606</v>
      </c>
      <c r="AJ20" s="41">
        <f>'Financial Data - Old Segment'!AJ21/'Financial Data - Old Seg -USD'!AJ$10</f>
        <v>175.27583579072905</v>
      </c>
      <c r="AK20" s="41">
        <f>'Financial Data - Old Segment'!AK21/'Financial Data - Old Seg -USD'!AK$10</f>
        <v>60.387781629116098</v>
      </c>
      <c r="AL20" s="41">
        <f>'Financial Data - Old Segment'!AL21/'Financial Data - Old Seg -USD'!AL$10</f>
        <v>133.40301463307281</v>
      </c>
      <c r="AM20" s="41">
        <f>'Financial Data - Old Segment'!AM21/'Financial Data - Old Seg -USD'!AM$10</f>
        <v>190.06010685663412</v>
      </c>
      <c r="AN20" s="41">
        <f>'Financial Data - Old Segment'!AN21/'Financial Data - Old Seg -USD'!AN$10</f>
        <v>275.75799149403247</v>
      </c>
      <c r="AO20" s="41">
        <f>'Financial Data - Old Segment'!AO21/'Financial Data - Old Seg -USD'!AO$10</f>
        <v>77.571271066309762</v>
      </c>
      <c r="AP20" s="41">
        <f>'Financial Data - Old Segment'!AP21/'Financial Data - Old Seg -USD'!AP$10</f>
        <v>145.12971120900619</v>
      </c>
      <c r="AQ20" s="41">
        <f>'Financial Data - Old Segment'!AQ21/'Financial Data - Old Seg -USD'!AQ$10</f>
        <v>213.37114298131249</v>
      </c>
      <c r="AR20" s="41">
        <f>'Financial Data - Old Segment'!AR21/'Financial Data - Old Seg -USD'!AR$10</f>
        <v>310.7985341918386</v>
      </c>
      <c r="AS20" s="41">
        <f>'Financial Data - Old Segment'!AS21/'Financial Data - Old Seg -USD'!AS$10</f>
        <v>175.76982602696319</v>
      </c>
      <c r="AT20" s="41">
        <f>'Financial Data - Old Segment'!AT21/'Financial Data - Old Seg -USD'!AT$10</f>
        <v>248.65348684093453</v>
      </c>
      <c r="AU20" s="41">
        <f>'Financial Data - Old Segment'!AU21/'Financial Data - Old Seg -USD'!AU$10</f>
        <v>319.3565621782804</v>
      </c>
      <c r="AV20" s="41">
        <f>'Financial Data - Old Segment'!AV21/'Financial Data - Old Seg -USD'!AV$10</f>
        <v>338.737480603753</v>
      </c>
    </row>
    <row r="21" spans="1:48" ht="15" customHeight="1" x14ac:dyDescent="0.2">
      <c r="B21" s="24" t="s">
        <v>124</v>
      </c>
      <c r="C21" s="44">
        <f t="shared" ref="C21:AL21" si="4">+C20/C15</f>
        <v>0.17482959735788067</v>
      </c>
      <c r="D21" s="44">
        <f t="shared" si="4"/>
        <v>9.8097971675501439E-2</v>
      </c>
      <c r="E21" s="44">
        <f t="shared" si="4"/>
        <v>0.14441330155205478</v>
      </c>
      <c r="F21" s="44">
        <f t="shared" si="4"/>
        <v>7.4799288575655334E-2</v>
      </c>
      <c r="G21" s="44">
        <f t="shared" si="4"/>
        <v>8.4352781088994411E-2</v>
      </c>
      <c r="H21" s="44">
        <f t="shared" si="4"/>
        <v>8.5956495800472016E-2</v>
      </c>
      <c r="I21" s="44">
        <f t="shared" si="4"/>
        <v>0.17939811930971586</v>
      </c>
      <c r="J21" s="44">
        <f t="shared" si="4"/>
        <v>0.1595150741745095</v>
      </c>
      <c r="K21" s="44">
        <f t="shared" si="4"/>
        <v>0.13609303148753346</v>
      </c>
      <c r="L21" s="44">
        <f t="shared" si="4"/>
        <v>0.13220120758507745</v>
      </c>
      <c r="M21" s="44">
        <f t="shared" si="4"/>
        <v>0.13626209869724737</v>
      </c>
      <c r="N21" s="44">
        <f t="shared" si="4"/>
        <v>0.13565433839082372</v>
      </c>
      <c r="O21" s="44">
        <f t="shared" si="4"/>
        <v>0.12886857050938733</v>
      </c>
      <c r="P21" s="44">
        <f t="shared" si="4"/>
        <v>0.11272900414512646</v>
      </c>
      <c r="Q21" s="44">
        <f t="shared" si="4"/>
        <v>9.6982640107420762E-2</v>
      </c>
      <c r="R21" s="44">
        <f t="shared" si="4"/>
        <v>9.8449771332644528E-2</v>
      </c>
      <c r="S21" s="44">
        <f t="shared" si="4"/>
        <v>8.9608554265161969E-2</v>
      </c>
      <c r="T21" s="44">
        <f t="shared" si="4"/>
        <v>7.1161994328819575E-2</v>
      </c>
      <c r="U21" s="44">
        <f t="shared" si="4"/>
        <v>0.11430946690221346</v>
      </c>
      <c r="V21" s="44">
        <f t="shared" si="4"/>
        <v>1.0181070335924415E-2</v>
      </c>
      <c r="W21" s="44">
        <f t="shared" si="4"/>
        <v>2.0553824544192811E-2</v>
      </c>
      <c r="X21" s="44">
        <f t="shared" si="4"/>
        <v>2.6000796664409796E-3</v>
      </c>
      <c r="Y21" s="44">
        <f t="shared" si="4"/>
        <v>0.14714153622729098</v>
      </c>
      <c r="Z21" s="44">
        <f t="shared" si="4"/>
        <v>0.11717303937060806</v>
      </c>
      <c r="AA21" s="44">
        <f t="shared" si="4"/>
        <v>0.1047900304954629</v>
      </c>
      <c r="AB21" s="44">
        <f t="shared" si="4"/>
        <v>4.2013473363346147E-2</v>
      </c>
      <c r="AC21" s="44">
        <f t="shared" si="4"/>
        <v>6.7815746449754022E-2</v>
      </c>
      <c r="AD21" s="44">
        <f t="shared" si="4"/>
        <v>7.6953918817046718E-2</v>
      </c>
      <c r="AE21" s="44">
        <f t="shared" si="4"/>
        <v>8.6769115113107226E-2</v>
      </c>
      <c r="AF21" s="44">
        <f t="shared" si="4"/>
        <v>7.5613938889534715E-2</v>
      </c>
      <c r="AG21" s="44">
        <f t="shared" si="4"/>
        <v>0.13615140035719719</v>
      </c>
      <c r="AH21" s="44">
        <f t="shared" si="4"/>
        <v>0.12262697325870722</v>
      </c>
      <c r="AI21" s="44">
        <f t="shared" si="4"/>
        <v>0.10222933173359564</v>
      </c>
      <c r="AJ21" s="44">
        <f t="shared" si="4"/>
        <v>0.11166469687889784</v>
      </c>
      <c r="AK21" s="44">
        <f t="shared" si="4"/>
        <v>0.13622688190106755</v>
      </c>
      <c r="AL21" s="44">
        <f t="shared" si="4"/>
        <v>0.14502300483479785</v>
      </c>
      <c r="AM21" s="44">
        <f>+AM20/AM15</f>
        <v>0.13470319049338644</v>
      </c>
      <c r="AN21" s="44">
        <f>+AN20/AN15</f>
        <v>0.13423028547776567</v>
      </c>
      <c r="AO21" s="44">
        <f>+AO20/AO15</f>
        <v>0.13041008787124397</v>
      </c>
      <c r="AP21" s="44">
        <f>+AP20/AP15</f>
        <v>0.11621735820894351</v>
      </c>
      <c r="AQ21" s="44">
        <f>+AQ20/AQ15</f>
        <v>0.11747770614984487</v>
      </c>
      <c r="AR21" s="44">
        <f t="shared" ref="AR21:AV21" si="5">+AR20/AR15</f>
        <v>0.12358334298578658</v>
      </c>
      <c r="AS21" s="44">
        <f t="shared" si="5"/>
        <v>0.20548022246646194</v>
      </c>
      <c r="AT21" s="44">
        <f t="shared" si="5"/>
        <v>0.16823713986821148</v>
      </c>
      <c r="AU21" s="44">
        <f t="shared" si="5"/>
        <v>0.15926533275086827</v>
      </c>
      <c r="AV21" s="44">
        <f t="shared" si="5"/>
        <v>0.13154841004333664</v>
      </c>
    </row>
    <row r="22" spans="1:48" ht="15" customHeight="1" x14ac:dyDescent="0.2">
      <c r="B22" s="39" t="s">
        <v>128</v>
      </c>
      <c r="C22" s="46">
        <f>'Financial Data - Old Segment'!C23/'Financial Data - Old Seg -USD'!C$10</f>
        <v>19.584735600000002</v>
      </c>
      <c r="D22" s="46">
        <f>'Financial Data - Old Segment'!D23/'Financial Data - Old Seg -USD'!D$10</f>
        <v>-28.358079999999994</v>
      </c>
      <c r="E22" s="46">
        <f>'Financial Data - Old Segment'!E23/'Financial Data - Old Seg -USD'!E$10</f>
        <v>-32.256341789052051</v>
      </c>
      <c r="F22" s="46">
        <f>'Financial Data - Old Segment'!F23/'Financial Data - Old Seg -USD'!F$10</f>
        <v>-22.399010649147964</v>
      </c>
      <c r="G22" s="46">
        <f>'Financial Data - Old Segment'!G23/'Financial Data - Old Seg -USD'!G$10</f>
        <v>-18.247398262000001</v>
      </c>
      <c r="H22" s="46">
        <f>'Financial Data - Old Segment'!H23/'Financial Data - Old Seg -USD'!H$10</f>
        <v>-17.495119362000001</v>
      </c>
      <c r="I22" s="46">
        <f>'Financial Data - Old Segment'!I23/'Financial Data - Old Seg -USD'!I$10</f>
        <v>-1.9201960399999998</v>
      </c>
      <c r="J22" s="46">
        <f>'Financial Data - Old Segment'!J23/'Financial Data - Old Seg -USD'!J$10</f>
        <v>-2.4869141639999999</v>
      </c>
      <c r="K22" s="46">
        <f>'Financial Data - Old Segment'!K23/'Financial Data - Old Seg -USD'!K$10</f>
        <v>9.5754440790000004</v>
      </c>
      <c r="L22" s="46">
        <f>'Financial Data - Old Segment'!L23/'Financial Data - Old Seg -USD'!L$10</f>
        <v>9.5634165759999998</v>
      </c>
      <c r="M22" s="46">
        <f>'Financial Data - Old Segment'!M23/'Financial Data - Old Seg -USD'!M$10</f>
        <v>11.237207849999999</v>
      </c>
      <c r="N22" s="46">
        <f>'Financial Data - Old Segment'!N23/'Financial Data - Old Seg -USD'!N$10</f>
        <v>14.828328585000001</v>
      </c>
      <c r="O22" s="46">
        <f>'Financial Data - Old Segment'!O23/'Financial Data - Old Seg -USD'!O$10</f>
        <v>3.9082889160000001</v>
      </c>
      <c r="P22" s="46">
        <f>'Financial Data - Old Segment'!P23/'Financial Data - Old Seg -USD'!P$10</f>
        <v>5.5003620399999997</v>
      </c>
      <c r="Q22" s="46">
        <f>'Financial Data - Old Segment'!Q23/'Financial Data - Old Seg -USD'!Q$10</f>
        <v>3.2498997300000001</v>
      </c>
      <c r="R22" s="46">
        <f>'Financial Data - Old Segment'!R23/'Financial Data - Old Seg -USD'!R$10</f>
        <v>8.264845287</v>
      </c>
      <c r="S22" s="46">
        <f>'Financial Data - Old Segment'!S23/'Financial Data - Old Seg -USD'!S$10</f>
        <v>10.625339464</v>
      </c>
      <c r="T22" s="46">
        <f>'Financial Data - Old Segment'!T23/'Financial Data - Old Seg -USD'!T$10</f>
        <v>11.639316780000001</v>
      </c>
      <c r="U22" s="46">
        <f>'Financial Data - Old Segment'!U23/'Financial Data - Old Seg -USD'!U$10</f>
        <v>5.8321622489999987</v>
      </c>
      <c r="V22" s="46">
        <f>'Financial Data - Old Segment'!V23/'Financial Data - Old Seg -USD'!V$10</f>
        <v>15.742716568080045</v>
      </c>
      <c r="W22" s="46">
        <f>'Financial Data - Old Segment'!W23/'Financial Data - Old Seg -USD'!W$10</f>
        <v>22.718629889999999</v>
      </c>
      <c r="X22" s="46">
        <f>'Financial Data - Old Segment'!X23/'Financial Data - Old Seg -USD'!X$10</f>
        <v>38.137427561000003</v>
      </c>
      <c r="Y22" s="46">
        <f>'Financial Data - Old Segment'!Y23/'Financial Data - Old Seg -USD'!Y$10</f>
        <v>11.006953851711362</v>
      </c>
      <c r="Z22" s="46">
        <f>'Financial Data - Old Segment'!Z23/'Financial Data - Old Seg -USD'!Z$10</f>
        <v>10.516436266124193</v>
      </c>
      <c r="AA22" s="46">
        <f>'Financial Data - Old Segment'!AA23/'Financial Data - Old Seg -USD'!AA$10</f>
        <v>20.876584327874898</v>
      </c>
      <c r="AB22" s="46">
        <f>'Financial Data - Old Segment'!AB23/'Financial Data - Old Seg -USD'!AB$10</f>
        <v>27.116853418705691</v>
      </c>
      <c r="AC22" s="46">
        <f>'Financial Data - Old Segment'!AC23/'Financial Data - Old Seg -USD'!AC$10</f>
        <v>19.663017378210078</v>
      </c>
      <c r="AD22" s="46">
        <f>'Financial Data - Old Segment'!AD23/'Financial Data - Old Seg -USD'!AD$10</f>
        <v>29.306767919000002</v>
      </c>
      <c r="AE22" s="46">
        <f>'Financial Data - Old Segment'!AE23/'Financial Data - Old Seg -USD'!AE$10</f>
        <v>49.615992771628648</v>
      </c>
      <c r="AF22" s="46">
        <f>'Financial Data - Old Segment'!AF23/'Financial Data - Old Seg -USD'!AF$10</f>
        <v>46.502151447170029</v>
      </c>
      <c r="AG22" s="46">
        <f>'Financial Data - Old Segment'!AG23/'Financial Data - Old Seg -USD'!AG$10</f>
        <v>-2.4091264578870386</v>
      </c>
      <c r="AH22" s="46">
        <f>'Financial Data - Old Segment'!AH23/'Financial Data - Old Seg -USD'!AH$10</f>
        <v>3.8555939389999998</v>
      </c>
      <c r="AI22" s="46">
        <f>'Financial Data - Old Segment'!AI23/'Financial Data - Old Seg -USD'!AI$10</f>
        <v>9.311474291173349</v>
      </c>
      <c r="AJ22" s="46">
        <f>'Financial Data - Old Segment'!AJ23/'Financial Data - Old Seg -USD'!AJ$10</f>
        <v>37.24528676982203</v>
      </c>
      <c r="AK22" s="46">
        <f>'Financial Data - Old Segment'!AK23/'Financial Data - Old Seg -USD'!AK$10</f>
        <v>9.5201473136915045</v>
      </c>
      <c r="AL22" s="46">
        <f>'Financial Data - Old Segment'!AL23/'Financial Data - Old Seg -USD'!AL$10</f>
        <v>5.7718120805369075</v>
      </c>
      <c r="AM22" s="46">
        <f>'Financial Data - Old Segment'!AM23/'Financial Data - Old Seg -USD'!AM$10</f>
        <v>12.064225289403391</v>
      </c>
      <c r="AN22" s="46">
        <f>'Financial Data - Old Segment'!AN23/'Financial Data - Old Seg -USD'!AN$10</f>
        <v>29.272053779668017</v>
      </c>
      <c r="AO22" s="46">
        <f>'Financial Data - Old Segment'!AO23/'Financial Data - Old Seg -USD'!AO$10</f>
        <v>18.270593794298339</v>
      </c>
      <c r="AP22" s="46">
        <f>'Financial Data - Old Segment'!AP23/'Financial Data - Old Seg -USD'!AP$10</f>
        <v>58.689916789035671</v>
      </c>
      <c r="AQ22" s="46">
        <f>'Financial Data - Old Segment'!AQ23/'Financial Data - Old Seg -USD'!AQ$10</f>
        <v>142.48457192524995</v>
      </c>
      <c r="AR22" s="46">
        <f>'Financial Data - Old Segment'!AR23/'Financial Data - Old Seg -USD'!AR$10</f>
        <v>105.17877476656794</v>
      </c>
      <c r="AS22" s="46">
        <f>'Financial Data - Old Segment'!AS23/'Financial Data - Old Seg -USD'!AS$10</f>
        <v>20.446773201066609</v>
      </c>
      <c r="AT22" s="46">
        <f>'Financial Data - Old Segment'!AT23/'Financial Data - Old Seg -USD'!AT$10</f>
        <v>29.909247824616973</v>
      </c>
      <c r="AU22" s="46">
        <f>'Financial Data - Old Segment'!AU23/'Financial Data - Old Seg -USD'!AU$10</f>
        <v>29.760552380276128</v>
      </c>
      <c r="AV22" s="46">
        <f>'Financial Data - Old Segment'!AV23/'Financial Data - Old Seg -USD'!AV$10</f>
        <v>40.716955847087128</v>
      </c>
    </row>
    <row r="23" spans="1:48" ht="15" customHeight="1" x14ac:dyDescent="0.2">
      <c r="B23" s="84" t="s">
        <v>188</v>
      </c>
      <c r="C23" s="85">
        <f>'Financial Data - Old Segment'!C24/'Financial Data - Old Seg -USD'!C$10</f>
        <v>236.2176</v>
      </c>
      <c r="D23" s="85">
        <f>'Financial Data - Old Segment'!D24/'Financial Data - Old Seg -USD'!D$10</f>
        <v>102.48979999999999</v>
      </c>
      <c r="E23" s="85">
        <f>'Financial Data - Old Segment'!E24/'Financial Data - Old Seg -USD'!E$10</f>
        <v>14.56487437795848</v>
      </c>
      <c r="F23" s="85">
        <f>'Financial Data - Old Segment'!F24/'Financial Data - Old Seg -USD'!F$10</f>
        <v>12.456351156238442</v>
      </c>
      <c r="G23" s="85">
        <f>'Financial Data - Old Segment'!G24/'Financial Data - Old Seg -USD'!G$10</f>
        <v>42.742918000000003</v>
      </c>
      <c r="H23" s="85">
        <f>'Financial Data - Old Segment'!H24/'Financial Data - Old Seg -USD'!H$10</f>
        <v>63.402177999999999</v>
      </c>
      <c r="I23" s="85">
        <f>'Financial Data - Old Segment'!I24/'Financial Data - Old Seg -USD'!I$10</f>
        <v>55.928039999999996</v>
      </c>
      <c r="J23" s="85">
        <f>'Financial Data - Old Segment'!J24/'Financial Data - Old Seg -USD'!J$10</f>
        <v>91.008792</v>
      </c>
      <c r="K23" s="85">
        <f>'Financial Data - Old Segment'!K24/'Financial Data - Old Seg -USD'!K$10</f>
        <v>124.15914800000002</v>
      </c>
      <c r="L23" s="85">
        <f>'Financial Data - Old Segment'!L24/'Financial Data - Old Seg -USD'!L$10</f>
        <v>160.10184000000001</v>
      </c>
      <c r="M23" s="85">
        <f>'Financial Data - Old Segment'!M24/'Financial Data - Old Seg -USD'!M$10</f>
        <v>61.756893000000005</v>
      </c>
      <c r="N23" s="85">
        <f>'Financial Data - Old Segment'!N24/'Financial Data - Old Seg -USD'!N$10</f>
        <v>117.63948000000001</v>
      </c>
      <c r="O23" s="85">
        <f>'Financial Data - Old Segment'!O24/'Financial Data - Old Seg -USD'!O$10</f>
        <v>150.176187</v>
      </c>
      <c r="P23" s="85">
        <f>'Financial Data - Old Segment'!P24/'Financial Data - Old Seg -USD'!P$10</f>
        <v>186.138476</v>
      </c>
      <c r="Q23" s="85">
        <f>'Financial Data - Old Segment'!Q24/'Financial Data - Old Seg -USD'!Q$10</f>
        <v>62.573279999999997</v>
      </c>
      <c r="R23" s="85">
        <f>'Financial Data - Old Segment'!R24/'Financial Data - Old Seg -USD'!R$10</f>
        <v>105.93810999999999</v>
      </c>
      <c r="S23" s="85">
        <f>'Financial Data - Old Segment'!S24/'Financial Data - Old Seg -USD'!S$10</f>
        <v>133.76424</v>
      </c>
      <c r="T23" s="85">
        <f>'Financial Data - Old Segment'!T24/'Financial Data - Old Seg -USD'!T$10</f>
        <v>202.54419900000002</v>
      </c>
      <c r="U23" s="85">
        <f>'Financial Data - Old Segment'!U24/'Financial Data - Old Seg -USD'!U$10</f>
        <v>96.612915999999984</v>
      </c>
      <c r="V23" s="85">
        <f>'Financial Data - Old Segment'!V24/'Financial Data - Old Seg -USD'!V$10</f>
        <v>21.560064127370222</v>
      </c>
      <c r="W23" s="85">
        <f>'Financial Data - Old Segment'!W24/'Financial Data - Old Seg -USD'!W$10</f>
        <v>27.916460000000001</v>
      </c>
      <c r="X23" s="85">
        <f>'Financial Data - Old Segment'!X24/'Financial Data - Old Seg -USD'!X$10</f>
        <v>-2.6270150000000001</v>
      </c>
      <c r="Y23" s="85">
        <f>'Financial Data - Old Segment'!Y24/'Financial Data - Old Seg -USD'!Y$10</f>
        <v>77.666395737379148</v>
      </c>
      <c r="Z23" s="85">
        <f>'Financial Data - Old Segment'!Z24/'Financial Data - Old Seg -USD'!Z$10</f>
        <v>109.11276526885209</v>
      </c>
      <c r="AA23" s="85">
        <f>'Financial Data - Old Segment'!AA24/'Financial Data - Old Seg -USD'!AA$10</f>
        <v>145.71190674437955</v>
      </c>
      <c r="AB23" s="85">
        <f>'Financial Data - Old Segment'!AB24/'Financial Data - Old Seg -USD'!AB$10</f>
        <v>43.905785501943747</v>
      </c>
      <c r="AC23" s="85">
        <f>'Financial Data - Old Segment'!AC24/'Financial Data - Old Seg -USD'!AC$10</f>
        <v>35.814578161246985</v>
      </c>
      <c r="AD23" s="85">
        <f>'Financial Data - Old Segment'!AD24/'Financial Data - Old Seg -USD'!AD$10</f>
        <v>56.627285000000001</v>
      </c>
      <c r="AE23" s="85">
        <f>'Financial Data - Old Segment'!AE24/'Financial Data - Old Seg -USD'!AE$10</f>
        <v>80.942700097884199</v>
      </c>
      <c r="AF23" s="85">
        <f>'Financial Data - Old Segment'!AF24/'Financial Data - Old Seg -USD'!AF$10</f>
        <v>95.61987422308853</v>
      </c>
      <c r="AG23" s="85">
        <f>'Financial Data - Old Segment'!AG24/'Financial Data - Old Seg -USD'!AG$10</f>
        <v>57.125369784759698</v>
      </c>
      <c r="AH23" s="85">
        <f>'Financial Data - Old Segment'!AH24/'Financial Data - Old Seg -USD'!AH$10</f>
        <v>93.554096999999999</v>
      </c>
      <c r="AI23" s="85">
        <f>'Financial Data - Old Segment'!AI24/'Financial Data - Old Seg -USD'!AI$10</f>
        <v>99.286908458152666</v>
      </c>
      <c r="AJ23" s="85">
        <f>'Financial Data - Old Segment'!AJ24/'Financial Data - Old Seg -USD'!AJ$10</f>
        <v>145.45575030648405</v>
      </c>
      <c r="AK23" s="85">
        <f>'Financial Data - Old Segment'!AK24/'Financial Data - Old Seg -USD'!AK$10</f>
        <v>56.055025996533772</v>
      </c>
      <c r="AL23" s="85">
        <f>'Financial Data - Old Segment'!AL24/'Financial Data - Old Seg -USD'!AL$10</f>
        <v>129.55220596325216</v>
      </c>
      <c r="AM23" s="85">
        <f>'Financial Data - Old Segment'!AM24/'Financial Data - Old Seg -USD'!AM$10</f>
        <v>174.47684772929662</v>
      </c>
      <c r="AN23" s="85">
        <f>'Financial Data - Old Segment'!AN24/'Financial Data - Old Seg -USD'!AN$10</f>
        <v>247.49622719165899</v>
      </c>
      <c r="AO23" s="85">
        <f>'Financial Data - Old Segment'!AO24/'Financial Data - Old Seg -USD'!AO$10</f>
        <v>75.899879246075599</v>
      </c>
      <c r="AP23" s="85">
        <f>'Financial Data - Old Segment'!AP24/'Financial Data - Old Seg -USD'!AP$10</f>
        <v>154.18502202643154</v>
      </c>
      <c r="AQ23" s="85">
        <f>'Financial Data - Old Segment'!AQ24/'Financial Data - Old Seg -USD'!AQ$10</f>
        <v>251.10864841373356</v>
      </c>
      <c r="AR23" s="85">
        <f>'Financial Data - Old Segment'!AR24/'Financial Data - Old Seg -USD'!AR$10</f>
        <v>339.74451874702373</v>
      </c>
      <c r="AS23" s="85">
        <f>'Financial Data - Old Segment'!AS24/'Financial Data - Old Seg -USD'!AS$10</f>
        <v>181.0690111693302</v>
      </c>
      <c r="AT23" s="85">
        <f>'Financial Data - Old Segment'!AT24/'Financial Data - Old Seg -USD'!AT$10</f>
        <v>259.91156111536202</v>
      </c>
      <c r="AU23" s="85">
        <f>'Financial Data - Old Segment'!AU24/'Financial Data - Old Seg -USD'!AU$10</f>
        <v>318.41563420781642</v>
      </c>
      <c r="AV23" s="85">
        <f>'Financial Data - Old Segment'!AV24/'Financial Data - Old Seg -USD'!AV$10</f>
        <v>313.33879954859708</v>
      </c>
    </row>
    <row r="24" spans="1:48" ht="15" customHeight="1" x14ac:dyDescent="0.2">
      <c r="B24" s="39" t="s">
        <v>129</v>
      </c>
      <c r="C24" s="46">
        <f>'Financial Data - Old Segment'!C25/'Financial Data - Old Seg -USD'!C$10</f>
        <v>-57.090021000000007</v>
      </c>
      <c r="D24" s="46">
        <f>'Financial Data - Old Segment'!D25/'Financial Data - Old Seg -USD'!D$10</f>
        <v>-32.651863199999994</v>
      </c>
      <c r="E24" s="46">
        <f>'Financial Data - Old Segment'!E25/'Financial Data - Old Seg -USD'!E$10</f>
        <v>-11.096613666707118</v>
      </c>
      <c r="F24" s="46">
        <f>'Financial Data - Old Segment'!F25/'Financial Data - Old Seg -USD'!F$10</f>
        <v>-4.4070570390771602</v>
      </c>
      <c r="G24" s="46">
        <f>'Financial Data - Old Segment'!G25/'Financial Data - Old Seg -USD'!G$10</f>
        <v>-6.9817685760000012</v>
      </c>
      <c r="H24" s="46">
        <f>'Financial Data - Old Segment'!H25/'Financial Data - Old Seg -USD'!H$10</f>
        <v>-18.928137977000002</v>
      </c>
      <c r="I24" s="46">
        <f>'Financial Data - Old Segment'!I25/'Financial Data - Old Seg -USD'!I$10</f>
        <v>-11.658998909999999</v>
      </c>
      <c r="J24" s="46">
        <f>'Financial Data - Old Segment'!J25/'Financial Data - Old Seg -USD'!J$10</f>
        <v>-20.678780304</v>
      </c>
      <c r="K24" s="46">
        <f>'Financial Data - Old Segment'!K25/'Financial Data - Old Seg -USD'!K$10</f>
        <v>-26.923382907000004</v>
      </c>
      <c r="L24" s="46">
        <f>'Financial Data - Old Segment'!L25/'Financial Data - Old Seg -USD'!L$10</f>
        <v>-41.382323094</v>
      </c>
      <c r="M24" s="46">
        <f>'Financial Data - Old Segment'!M25/'Financial Data - Old Seg -USD'!M$10</f>
        <v>-13.077817929000002</v>
      </c>
      <c r="N24" s="46">
        <f>'Financial Data - Old Segment'!N25/'Financial Data - Old Seg -USD'!N$10</f>
        <v>-25.791177300000001</v>
      </c>
      <c r="O24" s="46">
        <f>'Financial Data - Old Segment'!O25/'Financial Data - Old Seg -USD'!O$10</f>
        <v>-28.557577881000004</v>
      </c>
      <c r="P24" s="46">
        <f>'Financial Data - Old Segment'!P25/'Financial Data - Old Seg -USD'!P$10</f>
        <v>-41.202439955999999</v>
      </c>
      <c r="Q24" s="46">
        <f>'Financial Data - Old Segment'!Q25/'Financial Data - Old Seg -USD'!Q$10</f>
        <v>-10.68829839</v>
      </c>
      <c r="R24" s="46">
        <f>'Financial Data - Old Segment'!R25/'Financial Data - Old Seg -USD'!R$10</f>
        <v>-22.018957379</v>
      </c>
      <c r="S24" s="46">
        <f>'Financial Data - Old Segment'!S25/'Financial Data - Old Seg -USD'!S$10</f>
        <v>-23.580963458999999</v>
      </c>
      <c r="T24" s="46">
        <f>'Financial Data - Old Segment'!T25/'Financial Data - Old Seg -USD'!T$10</f>
        <v>-34.782362901000006</v>
      </c>
      <c r="U24" s="46">
        <f>'Financial Data - Old Segment'!U25/'Financial Data - Old Seg -USD'!U$10</f>
        <v>-14.122336825999998</v>
      </c>
      <c r="V24" s="46">
        <f>'Financial Data - Old Segment'!V25/'Financial Data - Old Seg -USD'!V$10</f>
        <v>-18.396262922217918</v>
      </c>
      <c r="W24" s="46">
        <f>'Financial Data - Old Segment'!W25/'Financial Data - Old Seg -USD'!W$10</f>
        <v>-24.677613784999998</v>
      </c>
      <c r="X24" s="46">
        <f>'Financial Data - Old Segment'!X25/'Financial Data - Old Seg -USD'!X$10</f>
        <v>-30.753413799</v>
      </c>
      <c r="Y24" s="46">
        <f>'Financial Data - Old Segment'!Y25/'Financial Data - Old Seg -USD'!Y$10</f>
        <v>-13.140070441614728</v>
      </c>
      <c r="Z24" s="46">
        <f>'Financial Data - Old Segment'!Z25/'Financial Data - Old Seg -USD'!Z$10</f>
        <v>-24.152295529150695</v>
      </c>
      <c r="AA24" s="46">
        <f>'Financial Data - Old Segment'!AA25/'Financial Data - Old Seg -USD'!AA$10</f>
        <v>-28.42446109723376</v>
      </c>
      <c r="AB24" s="46">
        <f>'Financial Data - Old Segment'!AB25/'Financial Data - Old Seg -USD'!AB$10</f>
        <v>-17.305282414818201</v>
      </c>
      <c r="AC24" s="46">
        <f>'Financial Data - Old Segment'!AC25/'Financial Data - Old Seg -USD'!AC$10</f>
        <v>-1.2185096251678804</v>
      </c>
      <c r="AD24" s="46">
        <f>'Financial Data - Old Segment'!AD25/'Financial Data - Old Seg -USD'!AD$10</f>
        <v>-11.664439644</v>
      </c>
      <c r="AE24" s="46">
        <f>'Financial Data - Old Segment'!AE25/'Financial Data - Old Seg -USD'!AE$10</f>
        <v>-21.363602138393198</v>
      </c>
      <c r="AF24" s="46">
        <f>'Financial Data - Old Segment'!AF25/'Financial Data - Old Seg -USD'!AF$10</f>
        <v>-24.465448126218238</v>
      </c>
      <c r="AG24" s="46">
        <f>'Financial Data - Old Segment'!AG25/'Financial Data - Old Seg -USD'!AG$10</f>
        <v>-6.2297255942058483</v>
      </c>
      <c r="AH24" s="46">
        <f>'Financial Data - Old Segment'!AH25/'Financial Data - Old Seg -USD'!AH$10</f>
        <v>-16.73693076</v>
      </c>
      <c r="AI24" s="46">
        <f>'Financial Data - Old Segment'!AI25/'Financial Data - Old Seg -USD'!AI$10</f>
        <v>-26.252345695861308</v>
      </c>
      <c r="AJ24" s="46">
        <f>'Financial Data - Old Segment'!AJ25/'Financial Data - Old Seg -USD'!AJ$10</f>
        <v>-35.987873165236365</v>
      </c>
      <c r="AK24" s="46">
        <f>'Financial Data - Old Segment'!AK25/'Financial Data - Old Seg -USD'!AK$10</f>
        <v>-12.49295927209705</v>
      </c>
      <c r="AL24" s="46">
        <f>'Financial Data - Old Segment'!AL25/'Financial Data - Old Seg -USD'!AL$10</f>
        <v>-23.579051600836152</v>
      </c>
      <c r="AM24" s="46">
        <f>'Financial Data - Old Segment'!AM25/'Financial Data - Old Seg -USD'!AM$10</f>
        <v>-30.80142475512023</v>
      </c>
      <c r="AN24" s="46">
        <f>'Financial Data - Old Segment'!AN25/'Financial Data - Old Seg -USD'!AN$10</f>
        <v>-36.088901083824993</v>
      </c>
      <c r="AO24" s="46">
        <f>'Financial Data - Old Segment'!AO25/'Financial Data - Old Seg -USD'!AO$10</f>
        <v>-12.626660366461927</v>
      </c>
      <c r="AP24" s="46">
        <f>'Financial Data - Old Segment'!AP25/'Financial Data - Old Seg -USD'!AP$10</f>
        <v>-26.860009789525176</v>
      </c>
      <c r="AQ24" s="46">
        <f>'Financial Data - Old Segment'!AQ25/'Financial Data - Old Seg -USD'!AQ$10</f>
        <v>-40.674923946110397</v>
      </c>
      <c r="AR24" s="46">
        <f>'Financial Data - Old Segment'!AR25/'Financial Data - Old Seg -USD'!AR$10</f>
        <v>-49.657356990538482</v>
      </c>
      <c r="AS24" s="46">
        <f>'Financial Data - Old Segment'!AS25/'Financial Data - Old Seg -USD'!AS$10</f>
        <v>-35.456562680639244</v>
      </c>
      <c r="AT24" s="46">
        <f>'Financial Data - Old Segment'!AT25/'Financial Data - Old Seg -USD'!AT$10</f>
        <v>-50.04964677829777</v>
      </c>
      <c r="AU24" s="46">
        <f>'Financial Data - Old Segment'!AU25/'Financial Data - Old Seg -USD'!AU$10</f>
        <v>-63.463559231779477</v>
      </c>
      <c r="AV24" s="46">
        <f>'Financial Data - Old Segment'!AV25/'Financial Data - Old Seg -USD'!AV$10</f>
        <v>-63.857384680491037</v>
      </c>
    </row>
    <row r="25" spans="1:48" ht="15" customHeight="1" x14ac:dyDescent="0.2">
      <c r="B25" s="52" t="s">
        <v>127</v>
      </c>
      <c r="C25" s="53">
        <f>'Financial Data - Old Segment'!C26/'Financial Data - Old Seg -USD'!C$10</f>
        <v>179.070165</v>
      </c>
      <c r="D25" s="53">
        <f>'Financial Data - Old Segment'!D26/'Financial Data - Old Seg -USD'!D$10</f>
        <v>70.149259199999989</v>
      </c>
      <c r="E25" s="53">
        <f>'Financial Data - Old Segment'!E26/'Financial Data - Old Seg -USD'!E$10</f>
        <v>3.516810292511225</v>
      </c>
      <c r="F25" s="53">
        <f>'Financial Data - Old Segment'!F26/'Financial Data - Old Seg -USD'!F$10</f>
        <v>7.843764323083346</v>
      </c>
      <c r="G25" s="53">
        <f>'Financial Data - Old Segment'!G26/'Financial Data - Old Seg -USD'!G$10</f>
        <v>36.179009294000004</v>
      </c>
      <c r="H25" s="53">
        <f>'Financial Data - Old Segment'!H26/'Financial Data - Old Seg -USD'!H$10</f>
        <v>44.862863583999996</v>
      </c>
      <c r="I25" s="53">
        <f>'Financial Data - Old Segment'!I26/'Financial Data - Old Seg -USD'!I$10</f>
        <v>44.482766099999999</v>
      </c>
      <c r="J25" s="53">
        <f>'Financial Data - Old Segment'!J26/'Financial Data - Old Seg -USD'!J$10</f>
        <v>70.293080591999995</v>
      </c>
      <c r="K25" s="53">
        <f>'Financial Data - Old Segment'!K26/'Financial Data - Old Seg -USD'!K$10</f>
        <v>97.237746356000002</v>
      </c>
      <c r="L25" s="53">
        <f>'Financial Data - Old Segment'!L26/'Financial Data - Old Seg -USD'!L$10</f>
        <v>119.12911078</v>
      </c>
      <c r="M25" s="53">
        <f>'Financial Data - Old Segment'!M26/'Financial Data - Old Seg -USD'!M$10</f>
        <v>48.604584798000005</v>
      </c>
      <c r="N25" s="53">
        <f>'Financial Data - Old Segment'!N26/'Financial Data - Old Seg -USD'!N$10</f>
        <v>91.643712300000004</v>
      </c>
      <c r="O25" s="53">
        <f>'Financial Data - Old Segment'!O26/'Financial Data - Old Seg -USD'!O$10</f>
        <v>121.87570086300001</v>
      </c>
      <c r="P25" s="53">
        <f>'Financial Data - Old Segment'!P26/'Financial Data - Old Seg -USD'!P$10</f>
        <v>145.10421904</v>
      </c>
      <c r="Q25" s="53">
        <f>'Financial Data - Old Segment'!Q26/'Financial Data - Old Seg -USD'!Q$10</f>
        <v>51.60731268</v>
      </c>
      <c r="R25" s="53">
        <f>'Financial Data - Old Segment'!R26/'Financial Data - Old Seg -USD'!R$10</f>
        <v>83.198773473000003</v>
      </c>
      <c r="S25" s="53">
        <f>'Financial Data - Old Segment'!S26/'Financial Data - Old Seg -USD'!S$10</f>
        <v>110.266879191</v>
      </c>
      <c r="T25" s="53">
        <f>'Financial Data - Old Segment'!T26/'Financial Data - Old Seg -USD'!T$10</f>
        <v>167.00410876500001</v>
      </c>
      <c r="U25" s="53">
        <f>'Financial Data - Old Segment'!U26/'Financial Data - Old Seg -USD'!U$10</f>
        <v>82.65459645</v>
      </c>
      <c r="V25" s="53">
        <f>'Financial Data - Old Segment'!V26/'Financial Data - Old Seg -USD'!V$10</f>
        <v>3.2577809718613513</v>
      </c>
      <c r="W25" s="53">
        <f>'Financial Data - Old Segment'!W26/'Financial Data - Old Seg -USD'!W$10</f>
        <v>3.1448965899999997</v>
      </c>
      <c r="X25" s="53">
        <f>'Financial Data - Old Segment'!X26/'Financial Data - Old Seg -USD'!X$10</f>
        <v>-33.762922182999993</v>
      </c>
      <c r="Y25" s="53">
        <f>'Financial Data - Old Segment'!Y26/'Financial Data - Old Seg -USD'!Y$10</f>
        <v>64.292423010927436</v>
      </c>
      <c r="Z25" s="53">
        <f>'Financial Data - Old Segment'!Z26/'Financial Data - Old Seg -USD'!Z$10</f>
        <v>85.047852420361608</v>
      </c>
      <c r="AA25" s="53">
        <f>'Financial Data - Old Segment'!AA26/'Financial Data - Old Seg -USD'!AA$10</f>
        <v>117.21435840503273</v>
      </c>
      <c r="AB25" s="53">
        <f>'Financial Data - Old Segment'!AB26/'Financial Data - Old Seg -USD'!AB$10</f>
        <v>25.570089183626799</v>
      </c>
      <c r="AC25" s="53">
        <f>'Financial Data - Old Segment'!AC26/'Financial Data - Old Seg -USD'!AC$10</f>
        <v>34.189491677180406</v>
      </c>
      <c r="AD25" s="53">
        <f>'Financial Data - Old Segment'!AD26/'Financial Data - Old Seg -USD'!AD$10</f>
        <v>44.170453898999995</v>
      </c>
      <c r="AE25" s="53">
        <f>'Financial Data - Old Segment'!AE26/'Financial Data - Old Seg -USD'!AE$10</f>
        <v>57.903395828627367</v>
      </c>
      <c r="AF25" s="53">
        <f>'Financial Data - Old Segment'!AF26/'Financial Data - Old Seg -USD'!AF$10</f>
        <v>68.208598433305156</v>
      </c>
      <c r="AG25" s="53">
        <f>'Financial Data - Old Segment'!AG26/'Financial Data - Old Seg -USD'!AG$10</f>
        <v>50.623278588187219</v>
      </c>
      <c r="AH25" s="53">
        <f>'Financial Data - Old Segment'!AH26/'Financial Data - Old Seg -USD'!AH$10</f>
        <v>75.900130476000001</v>
      </c>
      <c r="AI25" s="53">
        <f>'Financial Data - Old Segment'!AI26/'Financial Data - Old Seg -USD'!AI$10</f>
        <v>71.640792930499089</v>
      </c>
      <c r="AJ25" s="53">
        <f>'Financial Data - Old Segment'!AJ26/'Financial Data - Old Seg -USD'!AJ$10</f>
        <v>107.48848613366012</v>
      </c>
      <c r="AK25" s="53">
        <f>'Financial Data - Old Segment'!AK26/'Financial Data - Old Seg -USD'!AK$10</f>
        <v>43.792785961871729</v>
      </c>
      <c r="AL25" s="53">
        <f>'Financial Data - Old Segment'!AL26/'Financial Data - Old Seg -USD'!AL$10</f>
        <v>106.0573220376278</v>
      </c>
      <c r="AM25" s="53">
        <f>'Financial Data - Old Segment'!AM26/'Financial Data - Old Seg -USD'!AM$10</f>
        <v>143.69879786286739</v>
      </c>
      <c r="AN25" s="53">
        <f>'Financial Data - Old Segment'!AN26/'Financial Data - Old Seg -USD'!AN$10</f>
        <v>211.47702016737574</v>
      </c>
      <c r="AO25" s="53">
        <f>'Financial Data - Old Segment'!AO26/'Financial Data - Old Seg -USD'!AO$10</f>
        <v>63.290806951226003</v>
      </c>
      <c r="AP25" s="53">
        <f>'Financial Data - Old Segment'!AP26/'Financial Data - Old Seg -USD'!AP$10</f>
        <v>127.35976505139487</v>
      </c>
      <c r="AQ25" s="53">
        <f>'Financial Data - Old Segment'!AQ26/'Financial Data - Old Seg -USD'!AQ$10</f>
        <v>210.33116036505905</v>
      </c>
      <c r="AR25" s="53">
        <f>'Financial Data - Old Segment'!AR26/'Financial Data - Old Seg -USD'!AR$10</f>
        <v>290.16521397072518</v>
      </c>
      <c r="AS25" s="53">
        <f>'Financial Data - Old Segment'!AS26/'Financial Data - Old Seg -USD'!AS$10</f>
        <v>145.61244848869097</v>
      </c>
      <c r="AT25" s="53">
        <f>'Financial Data - Old Segment'!AT26/'Financial Data - Old Seg -USD'!AT$10</f>
        <v>209.86191433706423</v>
      </c>
      <c r="AU25" s="53">
        <f>'Financial Data - Old Segment'!AU26/'Financial Data - Old Seg -USD'!AU$10</f>
        <v>254.95207497603693</v>
      </c>
      <c r="AV25" s="53">
        <f>'Financial Data - Old Segment'!AV26/'Financial Data - Old Seg -USD'!AV$10</f>
        <v>249.48141486810601</v>
      </c>
    </row>
    <row r="26" spans="1:48" ht="15" customHeight="1" x14ac:dyDescent="0.2">
      <c r="A26" s="63" t="s">
        <v>79</v>
      </c>
      <c r="B26" s="54" t="s">
        <v>124</v>
      </c>
      <c r="C26" s="55">
        <f t="shared" ref="C26:AV26" si="6">+C25/C15</f>
        <v>0.12273206380437074</v>
      </c>
      <c r="D26" s="55">
        <f t="shared" si="6"/>
        <v>3.6154067034673061E-2</v>
      </c>
      <c r="E26" s="55">
        <f t="shared" si="6"/>
        <v>8.9986568010124463E-3</v>
      </c>
      <c r="F26" s="55">
        <f t="shared" si="6"/>
        <v>1.0466913781353367E-2</v>
      </c>
      <c r="G26" s="55">
        <f t="shared" si="6"/>
        <v>3.1471911633802384E-2</v>
      </c>
      <c r="H26" s="55">
        <f t="shared" si="6"/>
        <v>2.9507758637564011E-2</v>
      </c>
      <c r="I26" s="55">
        <f t="shared" si="6"/>
        <v>0.11097766991742702</v>
      </c>
      <c r="J26" s="55">
        <f t="shared" si="6"/>
        <v>9.6604504125639867E-2</v>
      </c>
      <c r="K26" s="55">
        <f t="shared" si="6"/>
        <v>8.9855576610307061E-2</v>
      </c>
      <c r="L26" s="55">
        <f t="shared" si="6"/>
        <v>7.8958166055328197E-2</v>
      </c>
      <c r="M26" s="55">
        <f t="shared" si="6"/>
        <v>0.11066511849728998</v>
      </c>
      <c r="N26" s="55">
        <f t="shared" si="6"/>
        <v>0.10288197283037394</v>
      </c>
      <c r="O26" s="55">
        <f t="shared" si="6"/>
        <v>9.0119802072499089E-2</v>
      </c>
      <c r="P26" s="55">
        <f t="shared" si="6"/>
        <v>7.5497292168354851E-2</v>
      </c>
      <c r="Q26" s="55">
        <f t="shared" si="6"/>
        <v>9.2355468371161556E-2</v>
      </c>
      <c r="R26" s="55">
        <f t="shared" si="6"/>
        <v>7.5723605819294937E-2</v>
      </c>
      <c r="S26" s="55">
        <f t="shared" si="6"/>
        <v>6.7665061009060723E-2</v>
      </c>
      <c r="T26" s="55">
        <f t="shared" si="6"/>
        <v>7.5797653781449606E-2</v>
      </c>
      <c r="U26" s="55">
        <f t="shared" si="6"/>
        <v>0.13901353764182406</v>
      </c>
      <c r="V26" s="55">
        <f t="shared" si="6"/>
        <v>2.9998523744801291E-3</v>
      </c>
      <c r="W26" s="55">
        <f t="shared" si="6"/>
        <v>2.040750918303076E-3</v>
      </c>
      <c r="X26" s="55">
        <f t="shared" si="6"/>
        <v>-1.6708371944516378E-2</v>
      </c>
      <c r="Y26" s="55">
        <f t="shared" si="6"/>
        <v>0.12396630894150383</v>
      </c>
      <c r="Z26" s="55">
        <f t="shared" si="6"/>
        <v>8.5872432638340046E-2</v>
      </c>
      <c r="AA26" s="55">
        <f t="shared" si="6"/>
        <v>7.9263179066768136E-2</v>
      </c>
      <c r="AB26" s="55">
        <f t="shared" si="6"/>
        <v>1.2494315331230424E-2</v>
      </c>
      <c r="AC26" s="55">
        <f t="shared" si="6"/>
        <v>7.6986451513574153E-2</v>
      </c>
      <c r="AD26" s="55">
        <f t="shared" si="6"/>
        <v>5.543770114627028E-2</v>
      </c>
      <c r="AE26" s="55">
        <f t="shared" si="6"/>
        <v>5.4029757942272182E-2</v>
      </c>
      <c r="AF26" s="55">
        <f t="shared" si="6"/>
        <v>4.770005030641649E-2</v>
      </c>
      <c r="AG26" s="55">
        <f t="shared" si="6"/>
        <v>0.10839544482555509</v>
      </c>
      <c r="AH26" s="55">
        <f t="shared" si="6"/>
        <v>9.0835827910473288E-2</v>
      </c>
      <c r="AI26" s="55">
        <f t="shared" si="6"/>
        <v>6.1505149692740818E-2</v>
      </c>
      <c r="AJ26" s="55">
        <f t="shared" si="6"/>
        <v>6.847874476215525E-2</v>
      </c>
      <c r="AK26" s="55">
        <f t="shared" si="6"/>
        <v>9.8790757342048591E-2</v>
      </c>
      <c r="AL26" s="55">
        <f t="shared" si="6"/>
        <v>0.115295381959198</v>
      </c>
      <c r="AM26" s="55">
        <f t="shared" si="6"/>
        <v>0.10184507870867171</v>
      </c>
      <c r="AN26" s="55">
        <f t="shared" si="6"/>
        <v>0.10294033777682324</v>
      </c>
      <c r="AO26" s="55">
        <f t="shared" si="6"/>
        <v>0.10640227474029416</v>
      </c>
      <c r="AP26" s="55">
        <f t="shared" si="6"/>
        <v>0.10198749320922182</v>
      </c>
      <c r="AQ26" s="55">
        <f t="shared" si="6"/>
        <v>0.1158039550535022</v>
      </c>
      <c r="AR26" s="55">
        <f t="shared" si="6"/>
        <v>0.11537888122263201</v>
      </c>
      <c r="AS26" s="55">
        <f t="shared" si="6"/>
        <v>0.17022533950026572</v>
      </c>
      <c r="AT26" s="55">
        <f t="shared" si="6"/>
        <v>0.14199104417916794</v>
      </c>
      <c r="AU26" s="55">
        <f t="shared" si="6"/>
        <v>0.12714636824627118</v>
      </c>
      <c r="AV26" s="55">
        <f t="shared" si="6"/>
        <v>9.6885893473513007E-2</v>
      </c>
    </row>
    <row r="29" spans="1:48" ht="20.100000000000001" customHeight="1" x14ac:dyDescent="0.2">
      <c r="B29" s="34" t="s">
        <v>131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x14ac:dyDescent="0.2">
      <c r="B30" s="33" t="s">
        <v>121</v>
      </c>
      <c r="C30" s="37" t="s">
        <v>31</v>
      </c>
      <c r="D30" s="37" t="s">
        <v>32</v>
      </c>
      <c r="E30" s="37" t="s">
        <v>33</v>
      </c>
      <c r="F30" s="37" t="s">
        <v>34</v>
      </c>
      <c r="G30" s="37" t="s">
        <v>35</v>
      </c>
      <c r="H30" s="37" t="s">
        <v>36</v>
      </c>
      <c r="I30" s="37" t="s">
        <v>37</v>
      </c>
      <c r="J30" s="37" t="s">
        <v>38</v>
      </c>
      <c r="K30" s="37" t="s">
        <v>39</v>
      </c>
      <c r="L30" s="37" t="s">
        <v>40</v>
      </c>
      <c r="M30" s="37" t="s">
        <v>41</v>
      </c>
      <c r="N30" s="37" t="s">
        <v>42</v>
      </c>
      <c r="O30" s="37" t="s">
        <v>43</v>
      </c>
      <c r="P30" s="37" t="s">
        <v>44</v>
      </c>
      <c r="Q30" s="37" t="s">
        <v>45</v>
      </c>
      <c r="R30" s="37" t="s">
        <v>46</v>
      </c>
      <c r="S30" s="37" t="s">
        <v>47</v>
      </c>
      <c r="T30" s="37" t="s">
        <v>48</v>
      </c>
      <c r="U30" s="37" t="s">
        <v>49</v>
      </c>
      <c r="V30" s="37" t="s">
        <v>50</v>
      </c>
      <c r="W30" s="37" t="s">
        <v>51</v>
      </c>
      <c r="X30" s="37" t="s">
        <v>52</v>
      </c>
      <c r="Y30" s="37" t="s">
        <v>53</v>
      </c>
      <c r="Z30" s="37" t="s">
        <v>54</v>
      </c>
      <c r="AA30" s="37" t="s">
        <v>55</v>
      </c>
      <c r="AB30" s="37" t="s">
        <v>56</v>
      </c>
      <c r="AC30" s="37" t="s">
        <v>57</v>
      </c>
      <c r="AD30" s="37" t="s">
        <v>58</v>
      </c>
      <c r="AE30" s="37" t="s">
        <v>59</v>
      </c>
      <c r="AF30" s="37" t="s">
        <v>60</v>
      </c>
      <c r="AG30" s="37" t="s">
        <v>61</v>
      </c>
      <c r="AH30" s="37" t="s">
        <v>62</v>
      </c>
      <c r="AI30" s="37" t="s">
        <v>63</v>
      </c>
      <c r="AJ30" s="37" t="s">
        <v>64</v>
      </c>
      <c r="AK30" s="37" t="s">
        <v>65</v>
      </c>
      <c r="AL30" s="37" t="s">
        <v>66</v>
      </c>
      <c r="AM30" s="37" t="s">
        <v>67</v>
      </c>
      <c r="AN30" s="37" t="s">
        <v>68</v>
      </c>
      <c r="AO30" s="37" t="s">
        <v>69</v>
      </c>
      <c r="AP30" s="37" t="s">
        <v>70</v>
      </c>
      <c r="AQ30" s="37" t="s">
        <v>71</v>
      </c>
      <c r="AR30" s="37" t="s">
        <v>184</v>
      </c>
      <c r="AS30" s="37" t="s">
        <v>186</v>
      </c>
      <c r="AT30" s="37" t="s">
        <v>189</v>
      </c>
      <c r="AU30" s="37" t="s">
        <v>193</v>
      </c>
      <c r="AV30" s="37" t="s">
        <v>194</v>
      </c>
    </row>
    <row r="31" spans="1:48" ht="15" customHeight="1" x14ac:dyDescent="0.2">
      <c r="B31" s="10" t="s">
        <v>122</v>
      </c>
      <c r="C31" s="11"/>
      <c r="D31" s="43">
        <f>+D15-C15</f>
        <v>481.25352959999987</v>
      </c>
      <c r="E31" s="43">
        <f>+E15</f>
        <v>390.81502609539967</v>
      </c>
      <c r="F31" s="43">
        <f t="shared" ref="F31:H32" si="7">+F15-E15</f>
        <v>358.57151581506122</v>
      </c>
      <c r="G31" s="43">
        <f t="shared" si="7"/>
        <v>400.17849611353904</v>
      </c>
      <c r="H31" s="43">
        <f t="shared" si="7"/>
        <v>370.8101329619999</v>
      </c>
      <c r="I31" s="43">
        <f>+I15</f>
        <v>400.82627553000003</v>
      </c>
      <c r="J31" s="43">
        <f t="shared" ref="J31:L32" si="8">+J15-I15</f>
        <v>326.81143896599991</v>
      </c>
      <c r="K31" s="43">
        <f t="shared" si="8"/>
        <v>354.51822978900009</v>
      </c>
      <c r="L31" s="43">
        <f t="shared" si="8"/>
        <v>426.60643877899997</v>
      </c>
      <c r="M31" s="43">
        <f>+M15</f>
        <v>439.20419964300004</v>
      </c>
      <c r="N31" s="43">
        <f t="shared" ref="N31:P32" si="9">+N15-M15</f>
        <v>451.56130357200004</v>
      </c>
      <c r="O31" s="43">
        <f t="shared" si="9"/>
        <v>461.60875926899985</v>
      </c>
      <c r="P31" s="43">
        <f t="shared" si="9"/>
        <v>569.60485587200014</v>
      </c>
      <c r="Q31" s="43">
        <f>+Q15</f>
        <v>558.79000551000001</v>
      </c>
      <c r="R31" s="43">
        <f t="shared" ref="R31:T32" si="10">+R15-Q15</f>
        <v>539.92647230199998</v>
      </c>
      <c r="S31" s="43">
        <f t="shared" si="10"/>
        <v>530.88198181600001</v>
      </c>
      <c r="T31" s="43">
        <f t="shared" si="10"/>
        <v>573.69017047300031</v>
      </c>
      <c r="U31" s="43">
        <f>+U15</f>
        <v>594.5794765899999</v>
      </c>
      <c r="V31" s="43">
        <f t="shared" ref="V31:X32" si="11">+V15-U15</f>
        <v>491.40095350563809</v>
      </c>
      <c r="W31" s="43">
        <f t="shared" si="11"/>
        <v>455.06828966436206</v>
      </c>
      <c r="X31" s="43">
        <f t="shared" si="11"/>
        <v>479.67013274800001</v>
      </c>
      <c r="Y31" s="43">
        <f>+Y15</f>
        <v>518.62819470784757</v>
      </c>
      <c r="Z31" s="43">
        <f t="shared" ref="Z31:AB32" si="12">+Z15-Y15</f>
        <v>471.76941960626846</v>
      </c>
      <c r="AA31" s="43">
        <f t="shared" si="12"/>
        <v>488.40199712079789</v>
      </c>
      <c r="AB31" s="43">
        <f t="shared" si="12"/>
        <v>567.73823443748483</v>
      </c>
      <c r="AC31" s="43">
        <f>+AC15</f>
        <v>444.09751332872071</v>
      </c>
      <c r="AD31" s="43">
        <f t="shared" ref="AD31:AF32" si="13">+AD15-AC15</f>
        <v>352.66088367727929</v>
      </c>
      <c r="AE31" s="43">
        <f t="shared" si="13"/>
        <v>274.93612900860762</v>
      </c>
      <c r="AF31" s="43">
        <f t="shared" si="13"/>
        <v>358.25361859206396</v>
      </c>
      <c r="AG31" s="43">
        <f>+AG15</f>
        <v>467.02404025978387</v>
      </c>
      <c r="AH31" s="43">
        <f t="shared" ref="AH31:AJ32" si="14">+AH15-AG15</f>
        <v>368.55077886121614</v>
      </c>
      <c r="AI31" s="43">
        <f t="shared" si="14"/>
        <v>329.21858904713804</v>
      </c>
      <c r="AJ31" s="43">
        <f t="shared" si="14"/>
        <v>404.86863086303856</v>
      </c>
      <c r="AK31" s="43">
        <f>+AK15</f>
        <v>443.28829072790273</v>
      </c>
      <c r="AL31" s="43">
        <f t="shared" ref="AL31:AN32" si="15">+AL15-AK15</f>
        <v>476.58655799032721</v>
      </c>
      <c r="AM31" s="43">
        <f t="shared" si="15"/>
        <v>491.07990417580459</v>
      </c>
      <c r="AN31" s="43">
        <f t="shared" si="15"/>
        <v>643.41018056734833</v>
      </c>
      <c r="AO31" s="43">
        <f>+AO15</f>
        <v>594.82569433506671</v>
      </c>
      <c r="AP31" s="43">
        <f t="shared" ref="AP31:AR32" si="16">+AP15-AO15</f>
        <v>653.95257291897008</v>
      </c>
      <c r="AQ31" s="43">
        <f t="shared" si="16"/>
        <v>567.49096351519415</v>
      </c>
      <c r="AR31" s="43">
        <f t="shared" si="16"/>
        <v>698.6209371361947</v>
      </c>
      <c r="AS31" s="43">
        <f>+AS15</f>
        <v>855.40994611124665</v>
      </c>
      <c r="AT31" s="43">
        <f t="shared" ref="AT31:AV32" si="17">+AT15-AS15</f>
        <v>622.5840749219044</v>
      </c>
      <c r="AU31" s="43">
        <f t="shared" si="17"/>
        <v>527.19164405967717</v>
      </c>
      <c r="AV31" s="43">
        <f t="shared" si="17"/>
        <v>569.81680352052149</v>
      </c>
    </row>
    <row r="32" spans="1:48" ht="15" customHeight="1" x14ac:dyDescent="0.2">
      <c r="B32" s="40" t="s">
        <v>123</v>
      </c>
      <c r="C32" s="41"/>
      <c r="D32" s="41">
        <f>+D16-C16</f>
        <v>-56.934085200000027</v>
      </c>
      <c r="E32" s="41">
        <f>+E16</f>
        <v>69.463527127078493</v>
      </c>
      <c r="F32" s="41">
        <f t="shared" si="7"/>
        <v>8.8838075578722453</v>
      </c>
      <c r="G32" s="41">
        <f t="shared" si="7"/>
        <v>51.773590879049266</v>
      </c>
      <c r="H32" s="41">
        <f t="shared" si="7"/>
        <v>51.284997952999987</v>
      </c>
      <c r="I32" s="41">
        <f>+I16</f>
        <v>90.854435169999988</v>
      </c>
      <c r="J32" s="41">
        <f t="shared" si="8"/>
        <v>58.555621934000015</v>
      </c>
      <c r="K32" s="41">
        <f t="shared" si="8"/>
        <v>48.000346532000009</v>
      </c>
      <c r="L32" s="41">
        <f t="shared" si="8"/>
        <v>71.012338761999956</v>
      </c>
      <c r="M32" s="41">
        <f>+M16</f>
        <v>82.779066711000013</v>
      </c>
      <c r="N32" s="41">
        <f t="shared" si="9"/>
        <v>82.122713723999993</v>
      </c>
      <c r="O32" s="41">
        <f t="shared" si="9"/>
        <v>65.929525137000013</v>
      </c>
      <c r="P32" s="41">
        <f t="shared" si="9"/>
        <v>69.299929271999986</v>
      </c>
      <c r="Q32" s="41">
        <f>+Q16</f>
        <v>72.734733719999994</v>
      </c>
      <c r="R32" s="41">
        <f t="shared" si="10"/>
        <v>66.771260356000013</v>
      </c>
      <c r="S32" s="41">
        <f t="shared" si="10"/>
        <v>47.637423247000015</v>
      </c>
      <c r="T32" s="41">
        <f t="shared" si="10"/>
        <v>27.822376603000009</v>
      </c>
      <c r="U32" s="41">
        <f>+U16</f>
        <v>89.364138784999994</v>
      </c>
      <c r="V32" s="41">
        <f t="shared" si="11"/>
        <v>-40.230963927351716</v>
      </c>
      <c r="W32" s="41">
        <f t="shared" si="11"/>
        <v>28.285074127351713</v>
      </c>
      <c r="X32" s="41">
        <f t="shared" si="11"/>
        <v>-10.570174488999996</v>
      </c>
      <c r="Y32" s="41">
        <f>+Y16</f>
        <v>97.331798067370997</v>
      </c>
      <c r="Z32" s="41">
        <f t="shared" si="12"/>
        <v>50.755492144844212</v>
      </c>
      <c r="AA32" s="41">
        <f t="shared" si="12"/>
        <v>49.276480719415645</v>
      </c>
      <c r="AB32" s="41">
        <f t="shared" si="12"/>
        <v>9.5532196926545225</v>
      </c>
      <c r="AC32" s="41">
        <f>+AC16</f>
        <v>46.899190102152929</v>
      </c>
      <c r="AD32" s="41">
        <f t="shared" si="13"/>
        <v>36.071888945847064</v>
      </c>
      <c r="AE32" s="41">
        <f t="shared" si="13"/>
        <v>38.302168448423473</v>
      </c>
      <c r="AF32" s="41">
        <f t="shared" si="13"/>
        <v>29.097831169311547</v>
      </c>
      <c r="AG32" s="41">
        <f>+AG16</f>
        <v>75.89275391886828</v>
      </c>
      <c r="AH32" s="41">
        <f t="shared" si="14"/>
        <v>51.928529636131714</v>
      </c>
      <c r="AI32" s="41">
        <f t="shared" si="14"/>
        <v>24.13204136226075</v>
      </c>
      <c r="AJ32" s="41">
        <f t="shared" si="14"/>
        <v>64.588539169416038</v>
      </c>
      <c r="AK32" s="41">
        <f>+AK16</f>
        <v>71.946219670710548</v>
      </c>
      <c r="AL32" s="41">
        <f t="shared" si="15"/>
        <v>65.262494159193608</v>
      </c>
      <c r="AM32" s="41">
        <f t="shared" si="15"/>
        <v>66.626715822811889</v>
      </c>
      <c r="AN32" s="41">
        <f t="shared" si="15"/>
        <v>78.352799185259329</v>
      </c>
      <c r="AO32" s="41">
        <f>+AO16</f>
        <v>89.48915839764804</v>
      </c>
      <c r="AP32" s="41">
        <f t="shared" si="16"/>
        <v>90.086710422713949</v>
      </c>
      <c r="AQ32" s="41">
        <f t="shared" si="16"/>
        <v>84.960637046652749</v>
      </c>
      <c r="AR32" s="41">
        <f t="shared" si="16"/>
        <v>108.81849713499338</v>
      </c>
      <c r="AS32" s="41">
        <f>+AS16</f>
        <v>198.34268772492516</v>
      </c>
      <c r="AT32" s="41">
        <f t="shared" si="17"/>
        <v>92.241685106364741</v>
      </c>
      <c r="AU32" s="41">
        <f t="shared" si="17"/>
        <v>90.607895264843364</v>
      </c>
      <c r="AV32" s="41">
        <f t="shared" si="17"/>
        <v>42.274017698761099</v>
      </c>
    </row>
    <row r="33" spans="1:48" ht="15" customHeight="1" x14ac:dyDescent="0.2">
      <c r="B33" s="24" t="s">
        <v>124</v>
      </c>
      <c r="C33" s="44"/>
      <c r="D33" s="44">
        <f t="shared" ref="D33:AL33" si="18">+D32/D31</f>
        <v>-0.11830372495620246</v>
      </c>
      <c r="E33" s="44">
        <f t="shared" si="18"/>
        <v>0.17774016475539028</v>
      </c>
      <c r="F33" s="44">
        <f t="shared" si="18"/>
        <v>2.4775552898223533E-2</v>
      </c>
      <c r="G33" s="44">
        <f t="shared" si="18"/>
        <v>0.12937624430564107</v>
      </c>
      <c r="H33" s="44">
        <f t="shared" si="18"/>
        <v>0.13830527645870885</v>
      </c>
      <c r="I33" s="44">
        <f t="shared" si="18"/>
        <v>0.22666786265412869</v>
      </c>
      <c r="J33" s="44">
        <f t="shared" si="18"/>
        <v>0.17917249812082586</v>
      </c>
      <c r="K33" s="44">
        <f t="shared" si="18"/>
        <v>0.13539598953929266</v>
      </c>
      <c r="L33" s="44">
        <f t="shared" si="18"/>
        <v>0.16645866613088633</v>
      </c>
      <c r="M33" s="44">
        <f t="shared" si="18"/>
        <v>0.1884751256438022</v>
      </c>
      <c r="N33" s="44">
        <f t="shared" si="18"/>
        <v>0.1818639309311538</v>
      </c>
      <c r="O33" s="44">
        <f t="shared" si="18"/>
        <v>0.14282555045403711</v>
      </c>
      <c r="P33" s="44">
        <f t="shared" si="18"/>
        <v>0.12166316448603601</v>
      </c>
      <c r="Q33" s="44">
        <f t="shared" si="18"/>
        <v>0.13016470051860715</v>
      </c>
      <c r="R33" s="44">
        <f t="shared" si="18"/>
        <v>0.12366732098042506</v>
      </c>
      <c r="S33" s="44">
        <f t="shared" si="18"/>
        <v>8.9732605133904908E-2</v>
      </c>
      <c r="T33" s="44">
        <f t="shared" si="18"/>
        <v>4.8497216851494614E-2</v>
      </c>
      <c r="U33" s="44">
        <f t="shared" si="18"/>
        <v>0.15029805484965</v>
      </c>
      <c r="V33" s="44">
        <f t="shared" si="18"/>
        <v>-8.1869934602986333E-2</v>
      </c>
      <c r="W33" s="44">
        <f t="shared" si="18"/>
        <v>6.2155669313310125E-2</v>
      </c>
      <c r="X33" s="44">
        <f t="shared" si="18"/>
        <v>-2.2036340742009788E-2</v>
      </c>
      <c r="Y33" s="44">
        <f t="shared" si="18"/>
        <v>0.1876716288480994</v>
      </c>
      <c r="Z33" s="44">
        <f t="shared" si="18"/>
        <v>0.1075853797119872</v>
      </c>
      <c r="AA33" s="44">
        <f t="shared" si="18"/>
        <v>0.10089328260307656</v>
      </c>
      <c r="AB33" s="44">
        <f t="shared" si="18"/>
        <v>1.682680346889065E-2</v>
      </c>
      <c r="AC33" s="44">
        <f t="shared" si="18"/>
        <v>0.10560561294437643</v>
      </c>
      <c r="AD33" s="44">
        <f t="shared" si="18"/>
        <v>0.1022849162337395</v>
      </c>
      <c r="AE33" s="44">
        <f t="shared" si="18"/>
        <v>0.13931296911227087</v>
      </c>
      <c r="AF33" s="44">
        <f t="shared" si="18"/>
        <v>8.122131824841286E-2</v>
      </c>
      <c r="AG33" s="44">
        <f t="shared" si="18"/>
        <v>0.16250288502633109</v>
      </c>
      <c r="AH33" s="44">
        <f t="shared" si="18"/>
        <v>0.14089925354814201</v>
      </c>
      <c r="AI33" s="44">
        <f t="shared" si="18"/>
        <v>7.3300968308340222E-2</v>
      </c>
      <c r="AJ33" s="44">
        <f t="shared" si="18"/>
        <v>0.15952962083462929</v>
      </c>
      <c r="AK33" s="44">
        <f t="shared" si="18"/>
        <v>0.16230119580323465</v>
      </c>
      <c r="AL33" s="44">
        <f t="shared" si="18"/>
        <v>0.13693733712170325</v>
      </c>
      <c r="AM33" s="44">
        <f>+AM32/AM31</f>
        <v>0.13567387966044686</v>
      </c>
      <c r="AN33" s="44">
        <f>+AN32/AN31</f>
        <v>0.12177736932320396</v>
      </c>
      <c r="AO33" s="44">
        <f t="shared" ref="AO33:AV33" si="19">+AO32/AO31</f>
        <v>0.15044602015332342</v>
      </c>
      <c r="AP33" s="44">
        <f t="shared" si="19"/>
        <v>0.1377572535889027</v>
      </c>
      <c r="AQ33" s="44">
        <f t="shared" si="19"/>
        <v>0.14971275757482258</v>
      </c>
      <c r="AR33" s="44">
        <f t="shared" si="19"/>
        <v>0.15576186076109461</v>
      </c>
      <c r="AS33" s="44">
        <f t="shared" si="19"/>
        <v>0.23186857789835724</v>
      </c>
      <c r="AT33" s="44">
        <f t="shared" si="19"/>
        <v>0.14815940339934866</v>
      </c>
      <c r="AU33" s="44">
        <f t="shared" si="19"/>
        <v>0.17186898974177731</v>
      </c>
      <c r="AV33" s="44">
        <f t="shared" si="19"/>
        <v>7.4188787409528612E-2</v>
      </c>
    </row>
    <row r="34" spans="1:48" ht="15" customHeight="1" x14ac:dyDescent="0.2">
      <c r="B34" s="40" t="s">
        <v>125</v>
      </c>
      <c r="C34" s="45"/>
      <c r="D34" s="45">
        <f>+D18-C18</f>
        <v>-85.285259000000025</v>
      </c>
      <c r="E34" s="45">
        <f>+E18</f>
        <v>46.833960432091246</v>
      </c>
      <c r="F34" s="45">
        <f>+F18-E18</f>
        <v>-12.261980615509266</v>
      </c>
      <c r="G34" s="45">
        <f>+G18-F18</f>
        <v>26.718812779418023</v>
      </c>
      <c r="H34" s="45">
        <f>+H18-G18</f>
        <v>19.873052697999995</v>
      </c>
      <c r="I34" s="45">
        <f>+I18</f>
        <v>58.035328650000004</v>
      </c>
      <c r="J34" s="45">
        <f>+J18-I18</f>
        <v>35.349584201999996</v>
      </c>
      <c r="K34" s="45">
        <f>+K18-J18</f>
        <v>21.138032337000013</v>
      </c>
      <c r="L34" s="45">
        <f>+L18-K18</f>
        <v>36.19159025899998</v>
      </c>
      <c r="M34" s="45">
        <f>+M18</f>
        <v>50.388531336000007</v>
      </c>
      <c r="N34" s="45">
        <f>+N18-M18</f>
        <v>52.120849239000002</v>
      </c>
      <c r="O34" s="45">
        <f>+O18-N18</f>
        <v>43.877175237000003</v>
      </c>
      <c r="P34" s="45">
        <f>+P18-O18</f>
        <v>34.548422083999981</v>
      </c>
      <c r="Q34" s="45">
        <f>+Q18</f>
        <v>57.422716890000004</v>
      </c>
      <c r="R34" s="45">
        <f>+R18-Q18</f>
        <v>38.328049910999994</v>
      </c>
      <c r="S34" s="45">
        <f>+S18-R18</f>
        <v>24.062977669000006</v>
      </c>
      <c r="T34" s="45">
        <f>+T18-S18</f>
        <v>-8.1934777119999893</v>
      </c>
      <c r="U34" s="45">
        <f>+U18</f>
        <v>60.15502108199999</v>
      </c>
      <c r="V34" s="45">
        <f>+V18-U18</f>
        <v>-84.404012181563246</v>
      </c>
      <c r="W34" s="45">
        <f>+W18-V18</f>
        <v>2.4269090595632612</v>
      </c>
      <c r="X34" s="45">
        <f>+X18-W18</f>
        <v>-43.089882400999997</v>
      </c>
      <c r="Y34" s="45">
        <f>+Y18</f>
        <v>63.174839700171546</v>
      </c>
      <c r="Z34" s="45">
        <f>+Z18-Y18</f>
        <v>30.743048320541462</v>
      </c>
      <c r="AA34" s="45">
        <f>+AA18-Z18</f>
        <v>26.020589174217037</v>
      </c>
      <c r="AB34" s="45">
        <f>+AB18-AA18</f>
        <v>-108.72649457430347</v>
      </c>
      <c r="AC34" s="45">
        <f>+AC18</f>
        <v>10.873794310365874</v>
      </c>
      <c r="AD34" s="45">
        <f>+AD18-AC18</f>
        <v>11.577557326634125</v>
      </c>
      <c r="AE34" s="45">
        <f>+AE18-AD18</f>
        <v>3.9122505013931992</v>
      </c>
      <c r="AF34" s="45">
        <f>+AF18-AE18</f>
        <v>16.489915569671979</v>
      </c>
      <c r="AG34" s="45">
        <f>+AG18</f>
        <v>56.370498826889659</v>
      </c>
      <c r="AH34" s="45">
        <f>+AH18-AG18</f>
        <v>29.272622608110339</v>
      </c>
      <c r="AI34" s="45">
        <f>+AI18-AH18</f>
        <v>0.46421760761479902</v>
      </c>
      <c r="AJ34" s="45">
        <f>+AJ18-AI18</f>
        <v>17.697372530891599</v>
      </c>
      <c r="AK34" s="45">
        <f>+AK18</f>
        <v>44.321382149046777</v>
      </c>
      <c r="AL34" s="45">
        <f>+AL18-AK18</f>
        <v>74.889752189164113</v>
      </c>
      <c r="AM34" s="45">
        <f>+AM18-AL18</f>
        <v>38.382365216553197</v>
      </c>
      <c r="AN34" s="45">
        <f>+AN18-AM18</f>
        <v>55.932910103625517</v>
      </c>
      <c r="AO34" s="45">
        <f>+AO18</f>
        <v>55.494303564865938</v>
      </c>
      <c r="AP34" s="45">
        <f>+AP18-AO18</f>
        <v>38.485138432197097</v>
      </c>
      <c r="AQ34" s="45">
        <f>+AQ18-AP18</f>
        <v>13.189397637878699</v>
      </c>
      <c r="AR34" s="45">
        <f>+AR18-AQ18</f>
        <v>123.06697328818605</v>
      </c>
      <c r="AS34" s="45">
        <f>+AS18</f>
        <v>158.75440526580783</v>
      </c>
      <c r="AT34" s="45">
        <f>+AT18-AS18</f>
        <v>69.636612048283638</v>
      </c>
      <c r="AU34" s="45">
        <f>+AU18-AT18</f>
        <v>56.783110272971726</v>
      </c>
      <c r="AV34" s="45">
        <f>+AV18-AU18</f>
        <v>-2.4489547841284889</v>
      </c>
    </row>
    <row r="35" spans="1:48" ht="15" customHeight="1" x14ac:dyDescent="0.2">
      <c r="B35" s="24" t="s">
        <v>124</v>
      </c>
      <c r="C35" s="44"/>
      <c r="D35" s="44">
        <f t="shared" ref="D35:AL35" si="20">+D34/D31</f>
        <v>-0.17721482286246498</v>
      </c>
      <c r="E35" s="44">
        <f t="shared" si="20"/>
        <v>0.11983664215781424</v>
      </c>
      <c r="F35" s="44">
        <f t="shared" si="20"/>
        <v>-3.4196750368296322E-2</v>
      </c>
      <c r="G35" s="44">
        <f t="shared" si="20"/>
        <v>6.6767237717434313E-2</v>
      </c>
      <c r="H35" s="44">
        <f t="shared" si="20"/>
        <v>5.3593607432611767E-2</v>
      </c>
      <c r="I35" s="44">
        <f t="shared" si="20"/>
        <v>0.14478923212621655</v>
      </c>
      <c r="J35" s="44">
        <f t="shared" si="20"/>
        <v>0.10816507620982513</v>
      </c>
      <c r="K35" s="44">
        <f t="shared" si="20"/>
        <v>5.9624669652617902E-2</v>
      </c>
      <c r="L35" s="44">
        <f t="shared" si="20"/>
        <v>8.4836015046056867E-2</v>
      </c>
      <c r="M35" s="44">
        <f t="shared" si="20"/>
        <v>0.11472688871590368</v>
      </c>
      <c r="N35" s="44">
        <f t="shared" si="20"/>
        <v>0.11542363977317532</v>
      </c>
      <c r="O35" s="44">
        <f t="shared" si="20"/>
        <v>9.5052735365081825E-2</v>
      </c>
      <c r="P35" s="44">
        <f t="shared" si="20"/>
        <v>6.0653313832990913E-2</v>
      </c>
      <c r="Q35" s="44">
        <f t="shared" si="20"/>
        <v>0.10276260549361664</v>
      </c>
      <c r="R35" s="44">
        <f t="shared" si="20"/>
        <v>7.0987536039095633E-2</v>
      </c>
      <c r="S35" s="44">
        <f t="shared" si="20"/>
        <v>4.5326416215308786E-2</v>
      </c>
      <c r="T35" s="44">
        <f t="shared" si="20"/>
        <v>-1.4282060480911796E-2</v>
      </c>
      <c r="U35" s="44">
        <f t="shared" si="20"/>
        <v>0.10117238056550122</v>
      </c>
      <c r="V35" s="44">
        <f t="shared" si="20"/>
        <v>-0.17176200326724608</v>
      </c>
      <c r="W35" s="44">
        <f t="shared" si="20"/>
        <v>5.3330656402212524E-3</v>
      </c>
      <c r="X35" s="44">
        <f t="shared" si="20"/>
        <v>-8.9832323213748524E-2</v>
      </c>
      <c r="Y35" s="44">
        <f t="shared" si="20"/>
        <v>0.12181142549675505</v>
      </c>
      <c r="Z35" s="44">
        <f t="shared" si="20"/>
        <v>6.5165411412632768E-2</v>
      </c>
      <c r="AA35" s="44">
        <f t="shared" si="20"/>
        <v>5.3276991755996622E-2</v>
      </c>
      <c r="AB35" s="44">
        <f t="shared" si="20"/>
        <v>-0.19150814227269669</v>
      </c>
      <c r="AC35" s="44">
        <f t="shared" si="20"/>
        <v>2.4485150184385514E-2</v>
      </c>
      <c r="AD35" s="44">
        <f t="shared" si="20"/>
        <v>3.2829150786194854E-2</v>
      </c>
      <c r="AE35" s="44">
        <f t="shared" si="20"/>
        <v>1.4229670416545057E-2</v>
      </c>
      <c r="AF35" s="44">
        <f t="shared" si="20"/>
        <v>4.6028608544073653E-2</v>
      </c>
      <c r="AG35" s="44">
        <f t="shared" si="20"/>
        <v>0.12070149278725215</v>
      </c>
      <c r="AH35" s="44">
        <f t="shared" si="20"/>
        <v>7.9426294250577137E-2</v>
      </c>
      <c r="AI35" s="44">
        <f t="shared" si="20"/>
        <v>1.4100589184784205E-3</v>
      </c>
      <c r="AJ35" s="44">
        <f t="shared" si="20"/>
        <v>4.3711394713803781E-2</v>
      </c>
      <c r="AK35" s="44">
        <f t="shared" si="20"/>
        <v>9.9983200720841811E-2</v>
      </c>
      <c r="AL35" s="44">
        <f t="shared" si="20"/>
        <v>0.15713777682895555</v>
      </c>
      <c r="AM35" s="44">
        <f>+AM34/AM31</f>
        <v>7.8159103824400167E-2</v>
      </c>
      <c r="AN35" s="44">
        <f>+AN34/AN31</f>
        <v>8.6931963144109434E-2</v>
      </c>
      <c r="AO35" s="44">
        <f t="shared" ref="AO35:AV35" si="21">+AO34/AO31</f>
        <v>9.3295067939021925E-2</v>
      </c>
      <c r="AP35" s="44">
        <f t="shared" si="21"/>
        <v>5.8850045134642683E-2</v>
      </c>
      <c r="AQ35" s="44">
        <f t="shared" si="21"/>
        <v>2.3241599401301414E-2</v>
      </c>
      <c r="AR35" s="44">
        <f t="shared" si="21"/>
        <v>0.1761570069638414</v>
      </c>
      <c r="AS35" s="44">
        <f t="shared" si="21"/>
        <v>0.18558868293210343</v>
      </c>
      <c r="AT35" s="44">
        <f t="shared" si="21"/>
        <v>0.11185093685060721</v>
      </c>
      <c r="AU35" s="44">
        <f t="shared" si="21"/>
        <v>0.10770866896847853</v>
      </c>
      <c r="AV35" s="44">
        <f t="shared" si="21"/>
        <v>-4.2977932012499727E-3</v>
      </c>
    </row>
    <row r="36" spans="1:48" ht="15" customHeight="1" x14ac:dyDescent="0.2">
      <c r="B36" s="40" t="s">
        <v>126</v>
      </c>
      <c r="C36" s="41"/>
      <c r="D36" s="41">
        <f>+D20-C20</f>
        <v>-64.744000000000028</v>
      </c>
      <c r="E36" s="41">
        <f>+E20</f>
        <v>56.438888214589113</v>
      </c>
      <c r="F36" s="41">
        <f>+F20-E20</f>
        <v>-0.38530801151612337</v>
      </c>
      <c r="G36" s="41">
        <f>+G20-F20</f>
        <v>40.915427796927013</v>
      </c>
      <c r="H36" s="41">
        <f>+H20-G20</f>
        <v>33.717114000000009</v>
      </c>
      <c r="I36" s="41">
        <f>+I20</f>
        <v>71.907479999999993</v>
      </c>
      <c r="J36" s="41">
        <f>+J20-I20</f>
        <v>44.161704</v>
      </c>
      <c r="K36" s="41">
        <f>+K20-J20</f>
        <v>31.204699000000019</v>
      </c>
      <c r="L36" s="41">
        <f>+L20-K20</f>
        <v>52.18632599999998</v>
      </c>
      <c r="M36" s="41">
        <f>+M20</f>
        <v>59.846886000000005</v>
      </c>
      <c r="N36" s="41">
        <f>+N20-M20</f>
        <v>60.989319000000002</v>
      </c>
      <c r="O36" s="41">
        <f>+O20-N20</f>
        <v>53.442333000000019</v>
      </c>
      <c r="P36" s="41">
        <f>+P20-O20</f>
        <v>42.384253999999999</v>
      </c>
      <c r="Q36" s="41">
        <f>+Q20</f>
        <v>54.192929999999997</v>
      </c>
      <c r="R36" s="41">
        <f>+R20-Q20</f>
        <v>53.975456000000001</v>
      </c>
      <c r="S36" s="41">
        <f>+S20-R20</f>
        <v>37.857575999999995</v>
      </c>
      <c r="T36" s="41">
        <f>+T20-S20</f>
        <v>10.764451000000037</v>
      </c>
      <c r="U36" s="41">
        <f>+U20</f>
        <v>67.966062999999991</v>
      </c>
      <c r="V36" s="41">
        <f>+V20-U20</f>
        <v>-56.909619857758855</v>
      </c>
      <c r="W36" s="41">
        <f>+W20-V20</f>
        <v>20.618001857758863</v>
      </c>
      <c r="X36" s="41">
        <f>+X20-W20</f>
        <v>-26.420414999999998</v>
      </c>
      <c r="Y36" s="41">
        <f>+Y20</f>
        <v>76.311749300099279</v>
      </c>
      <c r="Z36" s="41">
        <f>+Z20-Y20</f>
        <v>39.736149354484937</v>
      </c>
      <c r="AA36" s="41">
        <f>+AA20-Z20</f>
        <v>38.91555772435909</v>
      </c>
      <c r="AB36" s="41">
        <f>+AB20-AA20</f>
        <v>-68.981293104303475</v>
      </c>
      <c r="AC36" s="41">
        <f>+AC20</f>
        <v>30.116804362866784</v>
      </c>
      <c r="AD36" s="41">
        <f>+AD20-AC20</f>
        <v>31.196876637133219</v>
      </c>
      <c r="AE36" s="41">
        <f>+AE20-AD20</f>
        <v>31.676304693848365</v>
      </c>
      <c r="AF36" s="41">
        <f>+AF20-AE20</f>
        <v>15.134025927644046</v>
      </c>
      <c r="AG36" s="41">
        <f>+AG20</f>
        <v>63.585977081845613</v>
      </c>
      <c r="AH36" s="41">
        <f>+AH20-AG20</f>
        <v>38.878033918154387</v>
      </c>
      <c r="AI36" s="41">
        <f>+AI20-AH20</f>
        <v>16.612040724726057</v>
      </c>
      <c r="AJ36" s="41">
        <f>+AJ20-AI20</f>
        <v>56.199784066002991</v>
      </c>
      <c r="AK36" s="41">
        <f>+AK20</f>
        <v>60.387781629116098</v>
      </c>
      <c r="AL36" s="41">
        <f>+AL20-AK20</f>
        <v>73.015233003956723</v>
      </c>
      <c r="AM36" s="41">
        <f>+AM20-AL20</f>
        <v>56.657092223561307</v>
      </c>
      <c r="AN36" s="41">
        <f>+AN20-AM20</f>
        <v>85.697884637398346</v>
      </c>
      <c r="AO36" s="41">
        <f>+AO20</f>
        <v>77.571271066309762</v>
      </c>
      <c r="AP36" s="41">
        <f>+AP20-AO20</f>
        <v>67.558440142696426</v>
      </c>
      <c r="AQ36" s="41">
        <f>+AQ20-AP20</f>
        <v>68.241431772306299</v>
      </c>
      <c r="AR36" s="41">
        <f>+AR20-AQ20</f>
        <v>97.42739121052611</v>
      </c>
      <c r="AS36" s="41">
        <f>+AS20</f>
        <v>175.76982602696319</v>
      </c>
      <c r="AT36" s="41">
        <f>+AT20-AS20</f>
        <v>72.883660813971346</v>
      </c>
      <c r="AU36" s="41">
        <f>+AU20-AT20</f>
        <v>70.703075337345865</v>
      </c>
      <c r="AV36" s="41">
        <f>+AV20-AU20</f>
        <v>19.380918425472601</v>
      </c>
    </row>
    <row r="37" spans="1:48" ht="15" customHeight="1" x14ac:dyDescent="0.2">
      <c r="B37" s="24" t="s">
        <v>124</v>
      </c>
      <c r="C37" s="44"/>
      <c r="D37" s="44">
        <f t="shared" ref="D37:AL37" si="22">+D36/D31</f>
        <v>-0.13453200032384768</v>
      </c>
      <c r="E37" s="44">
        <f t="shared" si="22"/>
        <v>0.14441330155205478</v>
      </c>
      <c r="F37" s="44">
        <f t="shared" si="22"/>
        <v>-1.0745639140919713E-3</v>
      </c>
      <c r="G37" s="44">
        <f t="shared" si="22"/>
        <v>0.10224294457171043</v>
      </c>
      <c r="H37" s="44">
        <f t="shared" si="22"/>
        <v>9.0928243332161832E-2</v>
      </c>
      <c r="I37" s="44">
        <f t="shared" si="22"/>
        <v>0.17939811930971586</v>
      </c>
      <c r="J37" s="44">
        <f t="shared" si="22"/>
        <v>0.13512900325558799</v>
      </c>
      <c r="K37" s="44">
        <f t="shared" si="22"/>
        <v>8.8020012450621327E-2</v>
      </c>
      <c r="L37" s="44">
        <f t="shared" si="22"/>
        <v>0.1223289694111595</v>
      </c>
      <c r="M37" s="44">
        <f t="shared" si="22"/>
        <v>0.13626209869724737</v>
      </c>
      <c r="N37" s="44">
        <f t="shared" si="22"/>
        <v>0.13506320961861482</v>
      </c>
      <c r="O37" s="44">
        <f t="shared" si="22"/>
        <v>0.1157740877461487</v>
      </c>
      <c r="P37" s="44">
        <f t="shared" si="22"/>
        <v>7.4409923937734934E-2</v>
      </c>
      <c r="Q37" s="44">
        <f t="shared" si="22"/>
        <v>9.6982640107420762E-2</v>
      </c>
      <c r="R37" s="44">
        <f t="shared" si="22"/>
        <v>9.9968160053114818E-2</v>
      </c>
      <c r="S37" s="44">
        <f t="shared" si="22"/>
        <v>7.1310719325036659E-2</v>
      </c>
      <c r="T37" s="44">
        <f t="shared" si="22"/>
        <v>1.8763526994239561E-2</v>
      </c>
      <c r="U37" s="44">
        <f t="shared" si="22"/>
        <v>0.11430946690221346</v>
      </c>
      <c r="V37" s="44">
        <f t="shared" si="22"/>
        <v>-0.11581096750376148</v>
      </c>
      <c r="W37" s="44">
        <f t="shared" si="22"/>
        <v>4.5307489724159371E-2</v>
      </c>
      <c r="X37" s="44">
        <f t="shared" si="22"/>
        <v>-5.5080383780910236E-2</v>
      </c>
      <c r="Y37" s="44">
        <f t="shared" si="22"/>
        <v>0.14714153622729098</v>
      </c>
      <c r="Z37" s="44">
        <f t="shared" si="22"/>
        <v>8.4227903935884862E-2</v>
      </c>
      <c r="AA37" s="44">
        <f t="shared" si="22"/>
        <v>7.9679358302734357E-2</v>
      </c>
      <c r="AB37" s="44">
        <f t="shared" si="22"/>
        <v>-0.12150193332082021</v>
      </c>
      <c r="AC37" s="44">
        <f t="shared" si="22"/>
        <v>6.7815746449754022E-2</v>
      </c>
      <c r="AD37" s="44">
        <f t="shared" si="22"/>
        <v>8.8461403237682423E-2</v>
      </c>
      <c r="AE37" s="44">
        <f t="shared" si="22"/>
        <v>0.11521332175611104</v>
      </c>
      <c r="AF37" s="44">
        <f t="shared" si="22"/>
        <v>4.2243888525455069E-2</v>
      </c>
      <c r="AG37" s="44">
        <f t="shared" si="22"/>
        <v>0.13615140035719719</v>
      </c>
      <c r="AH37" s="44">
        <f t="shared" si="22"/>
        <v>0.1054889479226811</v>
      </c>
      <c r="AI37" s="44">
        <f t="shared" si="22"/>
        <v>5.0458999817739693E-2</v>
      </c>
      <c r="AJ37" s="44">
        <f t="shared" si="22"/>
        <v>0.13880992445921206</v>
      </c>
      <c r="AK37" s="44">
        <f t="shared" si="22"/>
        <v>0.13622688190106755</v>
      </c>
      <c r="AL37" s="44">
        <f t="shared" si="22"/>
        <v>0.15320455808037842</v>
      </c>
      <c r="AM37" s="44">
        <f>+AM36/AM31</f>
        <v>0.1153724510854313</v>
      </c>
      <c r="AN37" s="44">
        <f>+AN36/AN31</f>
        <v>0.13319323695163074</v>
      </c>
      <c r="AO37" s="44">
        <f t="shared" ref="AO37:AV37" si="23">+AO36/AO31</f>
        <v>0.13041008787124397</v>
      </c>
      <c r="AP37" s="44">
        <f t="shared" si="23"/>
        <v>0.10330785891879571</v>
      </c>
      <c r="AQ37" s="44">
        <f t="shared" si="23"/>
        <v>0.12025113377947064</v>
      </c>
      <c r="AR37" s="44">
        <f t="shared" si="23"/>
        <v>0.1394567297251397</v>
      </c>
      <c r="AS37" s="44">
        <f t="shared" si="23"/>
        <v>0.20548022246646194</v>
      </c>
      <c r="AT37" s="44">
        <f t="shared" si="23"/>
        <v>0.11706637504840404</v>
      </c>
      <c r="AU37" s="44">
        <f t="shared" si="23"/>
        <v>0.13411266307806349</v>
      </c>
      <c r="AV37" s="44">
        <f t="shared" si="23"/>
        <v>3.4012542813287909E-2</v>
      </c>
    </row>
    <row r="38" spans="1:48" ht="15" customHeight="1" x14ac:dyDescent="0.2">
      <c r="B38" s="39" t="s">
        <v>128</v>
      </c>
      <c r="C38" s="46"/>
      <c r="D38" s="46">
        <f>+D22-C22</f>
        <v>-47.942815599999996</v>
      </c>
      <c r="E38" s="46">
        <f>+E22</f>
        <v>-32.256341789052051</v>
      </c>
      <c r="F38" s="46">
        <f t="shared" ref="F38:H41" si="24">+F22-E22</f>
        <v>9.8573311399040868</v>
      </c>
      <c r="G38" s="46">
        <f t="shared" si="24"/>
        <v>4.1516123871479635</v>
      </c>
      <c r="H38" s="46">
        <f t="shared" si="24"/>
        <v>0.75227890000000031</v>
      </c>
      <c r="I38" s="46">
        <f>+I22</f>
        <v>-1.9201960399999998</v>
      </c>
      <c r="J38" s="46">
        <f t="shared" ref="J38:L41" si="25">+J22-I22</f>
        <v>-0.5667181240000001</v>
      </c>
      <c r="K38" s="46">
        <f t="shared" si="25"/>
        <v>12.062358243</v>
      </c>
      <c r="L38" s="46">
        <f t="shared" si="25"/>
        <v>-1.202750300000055E-2</v>
      </c>
      <c r="M38" s="46">
        <f>+M22</f>
        <v>11.237207849999999</v>
      </c>
      <c r="N38" s="46">
        <f t="shared" ref="N38:P41" si="26">+N22-M22</f>
        <v>3.5911207350000023</v>
      </c>
      <c r="O38" s="46">
        <f t="shared" si="26"/>
        <v>-10.920039669000001</v>
      </c>
      <c r="P38" s="46">
        <f t="shared" si="26"/>
        <v>1.5920731239999997</v>
      </c>
      <c r="Q38" s="46">
        <f>+Q22</f>
        <v>3.2498997300000001</v>
      </c>
      <c r="R38" s="46">
        <f t="shared" ref="R38:T41" si="27">+R22-Q22</f>
        <v>5.0149455569999999</v>
      </c>
      <c r="S38" s="46">
        <f t="shared" si="27"/>
        <v>2.3604941769999996</v>
      </c>
      <c r="T38" s="46">
        <f t="shared" si="27"/>
        <v>1.0139773160000018</v>
      </c>
      <c r="U38" s="46">
        <f>+U22</f>
        <v>5.8321622489999987</v>
      </c>
      <c r="V38" s="46">
        <f t="shared" ref="V38:X41" si="28">+V22-U22</f>
        <v>9.9105543190800454</v>
      </c>
      <c r="W38" s="46">
        <f t="shared" si="28"/>
        <v>6.9759133219199541</v>
      </c>
      <c r="X38" s="46">
        <f t="shared" si="28"/>
        <v>15.418797671000004</v>
      </c>
      <c r="Y38" s="46">
        <f>+Y22</f>
        <v>11.006953851711362</v>
      </c>
      <c r="Z38" s="46">
        <f t="shared" ref="Z38:AB41" si="29">+Z22-Y22</f>
        <v>-0.49051758558716863</v>
      </c>
      <c r="AA38" s="46">
        <f t="shared" si="29"/>
        <v>10.360148061750705</v>
      </c>
      <c r="AB38" s="46">
        <f t="shared" si="29"/>
        <v>6.2402690908307932</v>
      </c>
      <c r="AC38" s="46">
        <f>+AC22</f>
        <v>19.663017378210078</v>
      </c>
      <c r="AD38" s="46">
        <f t="shared" ref="AD38:AF41" si="30">+AD22-AC22</f>
        <v>9.6437505407899238</v>
      </c>
      <c r="AE38" s="46">
        <f t="shared" si="30"/>
        <v>20.309224852628645</v>
      </c>
      <c r="AF38" s="46">
        <f t="shared" si="30"/>
        <v>-3.1138413244586189</v>
      </c>
      <c r="AG38" s="46">
        <f>+AG22</f>
        <v>-2.4091264578870386</v>
      </c>
      <c r="AH38" s="46">
        <f t="shared" ref="AH38:AJ41" si="31">+AH22-AG22</f>
        <v>6.2647203968870384</v>
      </c>
      <c r="AI38" s="46">
        <f t="shared" si="31"/>
        <v>5.4558803521733488</v>
      </c>
      <c r="AJ38" s="46">
        <f t="shared" si="31"/>
        <v>27.933812478648683</v>
      </c>
      <c r="AK38" s="46">
        <f>+AK22</f>
        <v>9.5201473136915045</v>
      </c>
      <c r="AL38" s="46">
        <f t="shared" ref="AL38:AP41" si="32">+AL22-AK22</f>
        <v>-3.7483352331545969</v>
      </c>
      <c r="AM38" s="46">
        <f t="shared" si="32"/>
        <v>6.292413208866483</v>
      </c>
      <c r="AN38" s="46">
        <f t="shared" si="32"/>
        <v>17.207828490264625</v>
      </c>
      <c r="AO38" s="46">
        <f>+AO22</f>
        <v>18.270593794298339</v>
      </c>
      <c r="AP38" s="46">
        <f t="shared" ref="AP38:AR41" si="33">+AP22-AO22</f>
        <v>40.419322994737328</v>
      </c>
      <c r="AQ38" s="46">
        <f t="shared" si="33"/>
        <v>83.794655136214288</v>
      </c>
      <c r="AR38" s="46">
        <f t="shared" si="33"/>
        <v>-37.305797158682012</v>
      </c>
      <c r="AS38" s="46">
        <f>+AS22</f>
        <v>20.446773201066609</v>
      </c>
      <c r="AT38" s="46">
        <f t="shared" ref="AT38:AV41" si="34">+AT22-AS22</f>
        <v>9.4624746235503636</v>
      </c>
      <c r="AU38" s="46">
        <f t="shared" si="34"/>
        <v>-0.14869544434084503</v>
      </c>
      <c r="AV38" s="46">
        <f t="shared" si="34"/>
        <v>10.956403466811</v>
      </c>
    </row>
    <row r="39" spans="1:48" ht="15" customHeight="1" x14ac:dyDescent="0.2">
      <c r="B39" s="84" t="s">
        <v>188</v>
      </c>
      <c r="C39" s="86"/>
      <c r="D39" s="86">
        <f>+D23-C23</f>
        <v>-133.7278</v>
      </c>
      <c r="E39" s="86">
        <f>+E23</f>
        <v>14.56487437795848</v>
      </c>
      <c r="F39" s="86">
        <f t="shared" si="24"/>
        <v>-2.1085232217200378</v>
      </c>
      <c r="G39" s="86">
        <f t="shared" si="24"/>
        <v>30.286566843761562</v>
      </c>
      <c r="H39" s="86">
        <f t="shared" si="24"/>
        <v>20.659259999999996</v>
      </c>
      <c r="I39" s="86">
        <f>+I23</f>
        <v>55.928039999999996</v>
      </c>
      <c r="J39" s="86">
        <f t="shared" si="25"/>
        <v>35.080752000000004</v>
      </c>
      <c r="K39" s="86">
        <f t="shared" si="25"/>
        <v>33.150356000000016</v>
      </c>
      <c r="L39" s="86">
        <f t="shared" si="25"/>
        <v>35.942691999999994</v>
      </c>
      <c r="M39" s="86">
        <f>+M23</f>
        <v>61.756893000000005</v>
      </c>
      <c r="N39" s="86">
        <f t="shared" si="26"/>
        <v>55.882587000000001</v>
      </c>
      <c r="O39" s="86">
        <f t="shared" si="26"/>
        <v>32.536706999999993</v>
      </c>
      <c r="P39" s="86">
        <f t="shared" si="26"/>
        <v>35.962288999999998</v>
      </c>
      <c r="Q39" s="86">
        <f>+Q23</f>
        <v>62.573279999999997</v>
      </c>
      <c r="R39" s="86">
        <f t="shared" si="27"/>
        <v>43.364829999999998</v>
      </c>
      <c r="S39" s="86">
        <f t="shared" si="27"/>
        <v>27.826130000000006</v>
      </c>
      <c r="T39" s="86">
        <f t="shared" si="27"/>
        <v>68.779959000000019</v>
      </c>
      <c r="U39" s="86">
        <f>+U23</f>
        <v>96.612915999999984</v>
      </c>
      <c r="V39" s="86">
        <f t="shared" si="28"/>
        <v>-75.052851872629759</v>
      </c>
      <c r="W39" s="86">
        <f t="shared" si="28"/>
        <v>6.3563958726297791</v>
      </c>
      <c r="X39" s="86">
        <f t="shared" si="28"/>
        <v>-30.543475000000001</v>
      </c>
      <c r="Y39" s="86">
        <f>+Y23</f>
        <v>77.666395737379148</v>
      </c>
      <c r="Z39" s="86">
        <f t="shared" si="29"/>
        <v>31.446369531472939</v>
      </c>
      <c r="AA39" s="86">
        <f t="shared" si="29"/>
        <v>36.59914147552746</v>
      </c>
      <c r="AB39" s="86">
        <f t="shared" si="29"/>
        <v>-101.80612124243581</v>
      </c>
      <c r="AC39" s="86">
        <f>+AC23</f>
        <v>35.814578161246985</v>
      </c>
      <c r="AD39" s="86">
        <f t="shared" si="30"/>
        <v>20.812706838753016</v>
      </c>
      <c r="AE39" s="86">
        <f t="shared" si="30"/>
        <v>24.315415097884198</v>
      </c>
      <c r="AF39" s="86">
        <f t="shared" si="30"/>
        <v>14.677174125204331</v>
      </c>
      <c r="AG39" s="86">
        <f>+AG23</f>
        <v>57.125369784759698</v>
      </c>
      <c r="AH39" s="86">
        <f t="shared" si="31"/>
        <v>36.428727215240301</v>
      </c>
      <c r="AI39" s="86">
        <f t="shared" si="31"/>
        <v>5.7328114581526677</v>
      </c>
      <c r="AJ39" s="86">
        <f t="shared" si="31"/>
        <v>46.168841848331382</v>
      </c>
      <c r="AK39" s="86">
        <f>+AK23</f>
        <v>56.055025996533772</v>
      </c>
      <c r="AL39" s="86">
        <f t="shared" si="32"/>
        <v>73.497179966718392</v>
      </c>
      <c r="AM39" s="86">
        <f t="shared" si="32"/>
        <v>44.924641766044459</v>
      </c>
      <c r="AN39" s="86">
        <f t="shared" si="32"/>
        <v>73.019379462362366</v>
      </c>
      <c r="AO39" s="86">
        <f>+AO23</f>
        <v>75.899879246075599</v>
      </c>
      <c r="AP39" s="86">
        <f t="shared" si="33"/>
        <v>78.28514278035594</v>
      </c>
      <c r="AQ39" s="86">
        <f t="shared" si="33"/>
        <v>96.923626387302022</v>
      </c>
      <c r="AR39" s="86">
        <f t="shared" si="33"/>
        <v>88.635870333290171</v>
      </c>
      <c r="AS39" s="86">
        <f>+AS23</f>
        <v>181.0690111693302</v>
      </c>
      <c r="AT39" s="86">
        <f t="shared" si="34"/>
        <v>78.842549946031824</v>
      </c>
      <c r="AU39" s="86">
        <f t="shared" si="34"/>
        <v>58.504073092454405</v>
      </c>
      <c r="AV39" s="86">
        <f t="shared" si="34"/>
        <v>-5.0768346592193438</v>
      </c>
    </row>
    <row r="40" spans="1:48" ht="15" customHeight="1" x14ac:dyDescent="0.2">
      <c r="B40" s="39" t="s">
        <v>129</v>
      </c>
      <c r="C40" s="46"/>
      <c r="D40" s="46">
        <f>+D24-C24</f>
        <v>24.438157800000013</v>
      </c>
      <c r="E40" s="46">
        <f>+E24</f>
        <v>-11.096613666707118</v>
      </c>
      <c r="F40" s="46">
        <f t="shared" si="24"/>
        <v>6.6895566276299574</v>
      </c>
      <c r="G40" s="46">
        <f t="shared" si="24"/>
        <v>-2.574711536922841</v>
      </c>
      <c r="H40" s="46">
        <f t="shared" si="24"/>
        <v>-11.946369401000002</v>
      </c>
      <c r="I40" s="46">
        <f>+I24</f>
        <v>-11.658998909999999</v>
      </c>
      <c r="J40" s="46">
        <f t="shared" si="25"/>
        <v>-9.0197813940000007</v>
      </c>
      <c r="K40" s="46">
        <f t="shared" si="25"/>
        <v>-6.2446026030000041</v>
      </c>
      <c r="L40" s="46">
        <f t="shared" si="25"/>
        <v>-14.458940186999996</v>
      </c>
      <c r="M40" s="46">
        <f>+M24</f>
        <v>-13.077817929000002</v>
      </c>
      <c r="N40" s="46">
        <f t="shared" si="26"/>
        <v>-12.713359370999999</v>
      </c>
      <c r="O40" s="46">
        <f t="shared" si="26"/>
        <v>-2.7664005810000027</v>
      </c>
      <c r="P40" s="46">
        <f t="shared" si="26"/>
        <v>-12.644862074999995</v>
      </c>
      <c r="Q40" s="46">
        <f>+Q24</f>
        <v>-10.68829839</v>
      </c>
      <c r="R40" s="46">
        <f t="shared" si="27"/>
        <v>-11.330658989</v>
      </c>
      <c r="S40" s="46">
        <f t="shared" si="27"/>
        <v>-1.5620060799999997</v>
      </c>
      <c r="T40" s="46">
        <f t="shared" si="27"/>
        <v>-11.201399442000007</v>
      </c>
      <c r="U40" s="46">
        <f>+U24</f>
        <v>-14.122336825999998</v>
      </c>
      <c r="V40" s="46">
        <f t="shared" si="28"/>
        <v>-4.2739260962179202</v>
      </c>
      <c r="W40" s="46">
        <f t="shared" si="28"/>
        <v>-6.2813508627820802</v>
      </c>
      <c r="X40" s="46">
        <f t="shared" si="28"/>
        <v>-6.0758000140000021</v>
      </c>
      <c r="Y40" s="46">
        <f>+Y24</f>
        <v>-13.140070441614728</v>
      </c>
      <c r="Z40" s="46">
        <f t="shared" si="29"/>
        <v>-11.012225087535967</v>
      </c>
      <c r="AA40" s="46">
        <f t="shared" si="29"/>
        <v>-4.2721655680830644</v>
      </c>
      <c r="AB40" s="46">
        <f t="shared" si="29"/>
        <v>11.119178682415559</v>
      </c>
      <c r="AC40" s="46">
        <f>+AC24</f>
        <v>-1.2185096251678804</v>
      </c>
      <c r="AD40" s="46">
        <f t="shared" si="30"/>
        <v>-10.445930018832119</v>
      </c>
      <c r="AE40" s="46">
        <f t="shared" si="30"/>
        <v>-9.6991624943931978</v>
      </c>
      <c r="AF40" s="46">
        <f t="shared" si="30"/>
        <v>-3.1018459878250404</v>
      </c>
      <c r="AG40" s="46">
        <f>+AG24</f>
        <v>-6.2297255942058483</v>
      </c>
      <c r="AH40" s="46">
        <f t="shared" si="31"/>
        <v>-10.507205165794151</v>
      </c>
      <c r="AI40" s="46">
        <f t="shared" si="31"/>
        <v>-9.5154149358613083</v>
      </c>
      <c r="AJ40" s="46">
        <f t="shared" si="31"/>
        <v>-9.7355274693750573</v>
      </c>
      <c r="AK40" s="46">
        <f>+AK24</f>
        <v>-12.49295927209705</v>
      </c>
      <c r="AL40" s="46">
        <f t="shared" si="32"/>
        <v>-11.086092328739102</v>
      </c>
      <c r="AM40" s="46">
        <f t="shared" si="32"/>
        <v>-7.2223731542840781</v>
      </c>
      <c r="AN40" s="46">
        <f t="shared" si="32"/>
        <v>-5.2874763287047628</v>
      </c>
      <c r="AO40" s="46">
        <f>+AO24</f>
        <v>-12.626660366461927</v>
      </c>
      <c r="AP40" s="46">
        <f t="shared" si="33"/>
        <v>-14.233349423063249</v>
      </c>
      <c r="AQ40" s="46">
        <f t="shared" si="33"/>
        <v>-13.814914156585221</v>
      </c>
      <c r="AR40" s="46">
        <f t="shared" si="33"/>
        <v>-8.9824330444280847</v>
      </c>
      <c r="AS40" s="46">
        <f>+AS24</f>
        <v>-35.456562680639244</v>
      </c>
      <c r="AT40" s="46">
        <f t="shared" si="34"/>
        <v>-14.593084097658526</v>
      </c>
      <c r="AU40" s="46">
        <f t="shared" si="34"/>
        <v>-13.413912453481707</v>
      </c>
      <c r="AV40" s="46">
        <f t="shared" si="34"/>
        <v>-0.39382544871156</v>
      </c>
    </row>
    <row r="41" spans="1:48" ht="15" customHeight="1" x14ac:dyDescent="0.2">
      <c r="B41" s="52" t="s">
        <v>127</v>
      </c>
      <c r="C41" s="53"/>
      <c r="D41" s="53">
        <f t="shared" ref="D41" si="35">+D25-C25</f>
        <v>-108.92090580000001</v>
      </c>
      <c r="E41" s="53">
        <f t="shared" ref="E41" si="36">+E25</f>
        <v>3.516810292511225</v>
      </c>
      <c r="F41" s="53">
        <f t="shared" si="24"/>
        <v>4.3269540305721215</v>
      </c>
      <c r="G41" s="53">
        <f t="shared" si="24"/>
        <v>28.335244970916659</v>
      </c>
      <c r="H41" s="53">
        <f t="shared" si="24"/>
        <v>8.6838542899999922</v>
      </c>
      <c r="I41" s="53">
        <f t="shared" ref="I41" si="37">+I25</f>
        <v>44.482766099999999</v>
      </c>
      <c r="J41" s="53">
        <f t="shared" si="25"/>
        <v>25.810314491999996</v>
      </c>
      <c r="K41" s="53">
        <f t="shared" si="25"/>
        <v>26.944665764000007</v>
      </c>
      <c r="L41" s="53">
        <f t="shared" si="25"/>
        <v>21.891364424000002</v>
      </c>
      <c r="M41" s="53">
        <f t="shared" ref="M41" si="38">+M25</f>
        <v>48.604584798000005</v>
      </c>
      <c r="N41" s="53">
        <f t="shared" si="26"/>
        <v>43.039127501999999</v>
      </c>
      <c r="O41" s="53">
        <f t="shared" si="26"/>
        <v>30.231988563000002</v>
      </c>
      <c r="P41" s="53">
        <f t="shared" si="26"/>
        <v>23.228518176999998</v>
      </c>
      <c r="Q41" s="53">
        <f t="shared" ref="Q41" si="39">+Q25</f>
        <v>51.60731268</v>
      </c>
      <c r="R41" s="53">
        <f t="shared" si="27"/>
        <v>31.591460793000003</v>
      </c>
      <c r="S41" s="53">
        <f t="shared" si="27"/>
        <v>27.068105717999998</v>
      </c>
      <c r="T41" s="53">
        <f t="shared" si="27"/>
        <v>56.737229574000011</v>
      </c>
      <c r="U41" s="53">
        <f t="shared" ref="U41" si="40">+U25</f>
        <v>82.65459645</v>
      </c>
      <c r="V41" s="53">
        <f t="shared" si="28"/>
        <v>-79.396815478138649</v>
      </c>
      <c r="W41" s="53">
        <f t="shared" si="28"/>
        <v>-0.11288438186135163</v>
      </c>
      <c r="X41" s="53">
        <f t="shared" si="28"/>
        <v>-36.907818772999995</v>
      </c>
      <c r="Y41" s="53">
        <f t="shared" ref="Y41" si="41">+Y25</f>
        <v>64.292423010927436</v>
      </c>
      <c r="Z41" s="53">
        <f t="shared" si="29"/>
        <v>20.755429409434171</v>
      </c>
      <c r="AA41" s="53">
        <f t="shared" si="29"/>
        <v>32.166505984671119</v>
      </c>
      <c r="AB41" s="53">
        <f t="shared" si="29"/>
        <v>-91.644269221405921</v>
      </c>
      <c r="AC41" s="53">
        <f t="shared" ref="AC41" si="42">+AC25</f>
        <v>34.189491677180406</v>
      </c>
      <c r="AD41" s="53">
        <f t="shared" si="30"/>
        <v>9.9809622218195884</v>
      </c>
      <c r="AE41" s="53">
        <f t="shared" si="30"/>
        <v>13.732941929627373</v>
      </c>
      <c r="AF41" s="53">
        <f t="shared" si="30"/>
        <v>10.305202604677788</v>
      </c>
      <c r="AG41" s="53">
        <f t="shared" ref="AG41" si="43">+AG25</f>
        <v>50.623278588187219</v>
      </c>
      <c r="AH41" s="53">
        <f t="shared" si="31"/>
        <v>25.276851887812782</v>
      </c>
      <c r="AI41" s="53">
        <f t="shared" si="31"/>
        <v>-4.2593375455009124</v>
      </c>
      <c r="AJ41" s="53">
        <f t="shared" si="31"/>
        <v>35.847693203161029</v>
      </c>
      <c r="AK41" s="53">
        <f t="shared" ref="AK41" si="44">+AK25</f>
        <v>43.792785961871729</v>
      </c>
      <c r="AL41" s="53">
        <f t="shared" si="32"/>
        <v>62.26453607575607</v>
      </c>
      <c r="AM41" s="53">
        <f t="shared" si="32"/>
        <v>37.641475825239596</v>
      </c>
      <c r="AN41" s="53">
        <f t="shared" si="32"/>
        <v>67.778222304508347</v>
      </c>
      <c r="AO41" s="53">
        <f t="shared" ref="AO41" si="45">+AO25</f>
        <v>63.290806951226003</v>
      </c>
      <c r="AP41" s="53">
        <f t="shared" si="32"/>
        <v>64.068958100168871</v>
      </c>
      <c r="AQ41" s="90">
        <v>446.79700000000003</v>
      </c>
      <c r="AR41" s="53">
        <f t="shared" si="33"/>
        <v>79.834053605666128</v>
      </c>
      <c r="AS41" s="53">
        <f t="shared" ref="AS41" si="46">+AS25</f>
        <v>145.61244848869097</v>
      </c>
      <c r="AT41" s="53">
        <f t="shared" si="34"/>
        <v>64.249465848373262</v>
      </c>
      <c r="AU41" s="53">
        <f t="shared" si="34"/>
        <v>45.090160638972691</v>
      </c>
      <c r="AV41" s="53">
        <f t="shared" si="34"/>
        <v>-5.470660107930911</v>
      </c>
    </row>
    <row r="42" spans="1:48" ht="15" customHeight="1" x14ac:dyDescent="0.2">
      <c r="A42" s="63" t="s">
        <v>79</v>
      </c>
      <c r="B42" s="54" t="s">
        <v>124</v>
      </c>
      <c r="C42" s="55"/>
      <c r="D42" s="55">
        <f t="shared" ref="D42:AV42" si="47">+D41/D31</f>
        <v>-0.22632749497033516</v>
      </c>
      <c r="E42" s="55">
        <f t="shared" si="47"/>
        <v>8.9986568010124463E-3</v>
      </c>
      <c r="F42" s="55">
        <f t="shared" si="47"/>
        <v>1.2067199539641667E-2</v>
      </c>
      <c r="G42" s="55">
        <f t="shared" si="47"/>
        <v>7.0806515707624015E-2</v>
      </c>
      <c r="H42" s="55">
        <f t="shared" si="47"/>
        <v>2.3418600297230554E-2</v>
      </c>
      <c r="I42" s="55">
        <f t="shared" si="47"/>
        <v>0.11097766991742702</v>
      </c>
      <c r="J42" s="55">
        <f t="shared" si="47"/>
        <v>7.8976166114813354E-2</v>
      </c>
      <c r="K42" s="55">
        <f t="shared" si="47"/>
        <v>7.6003611379975466E-2</v>
      </c>
      <c r="L42" s="55">
        <f t="shared" si="47"/>
        <v>5.1315128966772691E-2</v>
      </c>
      <c r="M42" s="55">
        <f t="shared" si="47"/>
        <v>0.11066511849728998</v>
      </c>
      <c r="N42" s="55">
        <f t="shared" si="47"/>
        <v>9.5311815165618027E-2</v>
      </c>
      <c r="O42" s="55">
        <f t="shared" si="47"/>
        <v>6.5492666583873219E-2</v>
      </c>
      <c r="P42" s="55">
        <f t="shared" si="47"/>
        <v>4.0780056450606943E-2</v>
      </c>
      <c r="Q42" s="55">
        <f t="shared" si="47"/>
        <v>9.2355468371161556E-2</v>
      </c>
      <c r="R42" s="55">
        <f t="shared" si="47"/>
        <v>5.8510672125981225E-2</v>
      </c>
      <c r="S42" s="55">
        <f t="shared" si="47"/>
        <v>5.0987049184467545E-2</v>
      </c>
      <c r="T42" s="55">
        <f t="shared" si="47"/>
        <v>9.8898730524214634E-2</v>
      </c>
      <c r="U42" s="55">
        <f t="shared" si="47"/>
        <v>0.13901353764182406</v>
      </c>
      <c r="V42" s="55">
        <f t="shared" si="47"/>
        <v>-0.16157236755794713</v>
      </c>
      <c r="W42" s="55">
        <f t="shared" si="47"/>
        <v>-2.4806031188112469E-4</v>
      </c>
      <c r="X42" s="55">
        <f t="shared" si="47"/>
        <v>-7.6944166945641213E-2</v>
      </c>
      <c r="Y42" s="55">
        <f t="shared" si="47"/>
        <v>0.12396630894150383</v>
      </c>
      <c r="Z42" s="55">
        <f t="shared" si="47"/>
        <v>4.3994859664190054E-2</v>
      </c>
      <c r="AA42" s="55">
        <f t="shared" si="47"/>
        <v>6.5860717552953169E-2</v>
      </c>
      <c r="AB42" s="55">
        <f t="shared" si="47"/>
        <v>-0.16141993556626863</v>
      </c>
      <c r="AC42" s="55">
        <f t="shared" si="47"/>
        <v>7.6986451513574153E-2</v>
      </c>
      <c r="AD42" s="55">
        <f t="shared" si="47"/>
        <v>2.8301869256793413E-2</v>
      </c>
      <c r="AE42" s="55">
        <f t="shared" si="47"/>
        <v>4.9949571848367104E-2</v>
      </c>
      <c r="AF42" s="55">
        <f t="shared" si="47"/>
        <v>2.8765104020936943E-2</v>
      </c>
      <c r="AG42" s="55">
        <f t="shared" si="47"/>
        <v>0.10839544482555509</v>
      </c>
      <c r="AH42" s="55">
        <f t="shared" si="47"/>
        <v>6.8584448433172879E-2</v>
      </c>
      <c r="AI42" s="55">
        <f t="shared" si="47"/>
        <v>-1.2937718850654128E-2</v>
      </c>
      <c r="AJ42" s="55">
        <f t="shared" si="47"/>
        <v>8.8541542788203337E-2</v>
      </c>
      <c r="AK42" s="55">
        <f t="shared" si="47"/>
        <v>9.8790757342048591E-2</v>
      </c>
      <c r="AL42" s="55">
        <f t="shared" si="47"/>
        <v>0.13064685739000592</v>
      </c>
      <c r="AM42" s="55">
        <f t="shared" si="47"/>
        <v>7.6650409648536755E-2</v>
      </c>
      <c r="AN42" s="55">
        <f t="shared" si="47"/>
        <v>0.10534216639957833</v>
      </c>
      <c r="AO42" s="55">
        <f t="shared" si="47"/>
        <v>0.10640227474029416</v>
      </c>
      <c r="AP42" s="55">
        <f t="shared" si="47"/>
        <v>9.7971872507805743E-2</v>
      </c>
      <c r="AQ42" s="55">
        <f t="shared" si="47"/>
        <v>0.78732002573647564</v>
      </c>
      <c r="AR42" s="55">
        <f t="shared" si="47"/>
        <v>0.11427377761239733</v>
      </c>
      <c r="AS42" s="55">
        <f t="shared" si="47"/>
        <v>0.17022533950026572</v>
      </c>
      <c r="AT42" s="55">
        <f t="shared" si="47"/>
        <v>0.10319805538943889</v>
      </c>
      <c r="AU42" s="55">
        <f t="shared" si="47"/>
        <v>8.5528974419534928E-2</v>
      </c>
      <c r="AV42" s="55">
        <f t="shared" si="47"/>
        <v>-9.6007349627657817E-3</v>
      </c>
    </row>
    <row r="45" spans="1:48" ht="20.100000000000001" customHeight="1" x14ac:dyDescent="0.2">
      <c r="B45" s="34" t="s">
        <v>162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x14ac:dyDescent="0.2">
      <c r="B46" s="36" t="s">
        <v>132</v>
      </c>
      <c r="C46" s="37" t="s">
        <v>84</v>
      </c>
      <c r="D46" s="37">
        <v>2008</v>
      </c>
      <c r="E46" s="37" t="s">
        <v>85</v>
      </c>
      <c r="F46" s="37" t="s">
        <v>86</v>
      </c>
      <c r="G46" s="37" t="s">
        <v>87</v>
      </c>
      <c r="H46" s="37">
        <v>2009</v>
      </c>
      <c r="I46" s="37" t="s">
        <v>88</v>
      </c>
      <c r="J46" s="37" t="s">
        <v>89</v>
      </c>
      <c r="K46" s="37" t="s">
        <v>90</v>
      </c>
      <c r="L46" s="37">
        <v>2010</v>
      </c>
      <c r="M46" s="37" t="s">
        <v>91</v>
      </c>
      <c r="N46" s="37" t="s">
        <v>92</v>
      </c>
      <c r="O46" s="37" t="s">
        <v>93</v>
      </c>
      <c r="P46" s="37">
        <v>2011</v>
      </c>
      <c r="Q46" s="37" t="s">
        <v>94</v>
      </c>
      <c r="R46" s="37" t="s">
        <v>95</v>
      </c>
      <c r="S46" s="37" t="s">
        <v>96</v>
      </c>
      <c r="T46" s="37">
        <v>2012</v>
      </c>
      <c r="U46" s="37" t="s">
        <v>97</v>
      </c>
      <c r="V46" s="37" t="s">
        <v>98</v>
      </c>
      <c r="W46" s="37" t="s">
        <v>99</v>
      </c>
      <c r="X46" s="37">
        <v>2013</v>
      </c>
      <c r="Y46" s="37" t="s">
        <v>100</v>
      </c>
      <c r="Z46" s="37" t="s">
        <v>101</v>
      </c>
      <c r="AA46" s="37" t="s">
        <v>102</v>
      </c>
      <c r="AB46" s="37">
        <v>2014</v>
      </c>
      <c r="AC46" s="37" t="s">
        <v>103</v>
      </c>
      <c r="AD46" s="37" t="s">
        <v>104</v>
      </c>
      <c r="AE46" s="37" t="s">
        <v>105</v>
      </c>
      <c r="AF46" s="37">
        <v>2015</v>
      </c>
      <c r="AG46" s="37" t="s">
        <v>106</v>
      </c>
      <c r="AH46" s="37" t="s">
        <v>107</v>
      </c>
      <c r="AI46" s="37" t="s">
        <v>108</v>
      </c>
      <c r="AJ46" s="37">
        <v>2016</v>
      </c>
      <c r="AK46" s="37" t="s">
        <v>109</v>
      </c>
      <c r="AL46" s="37" t="s">
        <v>110</v>
      </c>
      <c r="AM46" s="37" t="s">
        <v>111</v>
      </c>
      <c r="AN46" s="37">
        <v>2017</v>
      </c>
      <c r="AO46" s="37" t="s">
        <v>112</v>
      </c>
      <c r="AP46" s="37" t="s">
        <v>113</v>
      </c>
      <c r="AQ46" s="37" t="s">
        <v>114</v>
      </c>
      <c r="AR46" s="37">
        <v>2018</v>
      </c>
      <c r="AS46" s="37" t="s">
        <v>187</v>
      </c>
      <c r="AT46" s="37" t="s">
        <v>190</v>
      </c>
      <c r="AU46" s="37" t="s">
        <v>192</v>
      </c>
      <c r="AV46" s="37">
        <v>2019</v>
      </c>
    </row>
    <row r="47" spans="1:48" ht="15" customHeight="1" x14ac:dyDescent="0.2">
      <c r="B47" s="48" t="s">
        <v>11</v>
      </c>
      <c r="C47" s="11">
        <f>'Financial Data - Old Segment'!C48/'Financial Data - Old Seg -USD'!C$10</f>
        <v>739.00020000000006</v>
      </c>
      <c r="D47" s="11">
        <f>'Financial Data - Old Segment'!D48/'Financial Data - Old Seg -USD'!D$10</f>
        <v>1016.4213999999999</v>
      </c>
      <c r="E47" s="11">
        <f>'Financial Data - Old Segment'!E48/'Financial Data - Old Seg -USD'!E$10</f>
        <v>195.41206457094296</v>
      </c>
      <c r="F47" s="11">
        <f>'Financial Data - Old Segment'!F48/'Financial Data - Old Seg -USD'!F$10</f>
        <v>402.96295990431361</v>
      </c>
      <c r="G47" s="11">
        <f>'Financial Data - Old Segment'!G48/'Financial Data - Old Seg -USD'!G$10</f>
        <v>641.78172400000005</v>
      </c>
      <c r="H47" s="11">
        <f>'Financial Data - Old Segment'!H48/'Financial Data - Old Seg -USD'!H$10</f>
        <v>867.574701</v>
      </c>
      <c r="I47" s="11">
        <f>'Financial Data - Old Segment'!I48/'Financial Data - Old Seg -USD'!I$10</f>
        <v>155.79954000000001</v>
      </c>
      <c r="J47" s="11">
        <f>'Financial Data - Old Segment'!J48/'Financial Data - Old Seg -USD'!J$10</f>
        <v>339.63425999999998</v>
      </c>
      <c r="K47" s="11">
        <f>'Financial Data - Old Segment'!K48/'Financial Data - Old Seg -USD'!K$10</f>
        <v>513.80753800000002</v>
      </c>
      <c r="L47" s="11">
        <f>'Financial Data - Old Segment'!L48/'Financial Data - Old Seg -USD'!L$10</f>
        <v>741.13810100000001</v>
      </c>
      <c r="M47" s="11">
        <f>'Financial Data - Old Segment'!M48/'Financial Data - Old Seg -USD'!M$10</f>
        <v>183.99734100000001</v>
      </c>
      <c r="N47" s="11">
        <f>'Financial Data - Old Segment'!N48/'Financial Data - Old Seg -USD'!N$10</f>
        <v>448.82019000000003</v>
      </c>
      <c r="O47" s="11">
        <f>'Financial Data - Old Segment'!O48/'Financial Data - Old Seg -USD'!O$10</f>
        <v>715.65442200000007</v>
      </c>
      <c r="P47" s="11">
        <f>'Financial Data - Old Segment'!P48/'Financial Data - Old Seg -USD'!P$10</f>
        <v>1115.633824</v>
      </c>
      <c r="Q47" s="11">
        <f>'Financial Data - Old Segment'!Q48/'Financial Data - Old Seg -USD'!Q$10</f>
        <v>293.87094000000002</v>
      </c>
      <c r="R47" s="11">
        <f>'Financial Data - Old Segment'!R48/'Financial Data - Old Seg -USD'!R$10</f>
        <v>625.59241799999995</v>
      </c>
      <c r="S47" s="11">
        <f>'Financial Data - Old Segment'!S48/'Financial Data - Old Seg -USD'!S$10</f>
        <v>969.79074000000003</v>
      </c>
      <c r="T47" s="11">
        <f>'Financial Data - Old Segment'!T48/'Financial Data - Old Seg -USD'!T$10</f>
        <v>1336.3453350000002</v>
      </c>
      <c r="U47" s="11">
        <f>'Financial Data - Old Segment'!U48/'Financial Data - Old Seg -USD'!U$10</f>
        <v>311.18346199999996</v>
      </c>
      <c r="V47" s="11">
        <f>'Financial Data - Old Segment'!V48/'Financial Data - Old Seg -USD'!V$10</f>
        <v>634.63983636464138</v>
      </c>
      <c r="W47" s="11">
        <f>'Financial Data - Old Segment'!W48/'Financial Data - Old Seg -USD'!W$10</f>
        <v>937.88568499999997</v>
      </c>
      <c r="X47" s="11">
        <f>'Financial Data - Old Segment'!X48/'Financial Data - Old Seg -USD'!X$10</f>
        <v>1222.612781</v>
      </c>
      <c r="Y47" s="11">
        <f>'Financial Data - Old Segment'!Y48/'Financial Data - Old Seg -USD'!Y$10</f>
        <v>274.99322676781338</v>
      </c>
      <c r="Z47" s="11">
        <f>'Financial Data - Old Segment'!Z48/'Financial Data - Old Seg -USD'!Z$10</f>
        <v>588.09931111008416</v>
      </c>
      <c r="AA47" s="11">
        <f>'Financial Data - Old Segment'!AA48/'Financial Data - Old Seg -USD'!AA$10</f>
        <v>916.36599130354239</v>
      </c>
      <c r="AB47" s="11">
        <f>'Financial Data - Old Segment'!AB48/'Financial Data - Old Seg -USD'!AB$10</f>
        <v>1265.9501486393779</v>
      </c>
      <c r="AC47" s="11">
        <f>'Financial Data - Old Segment'!AC48/'Financial Data - Old Seg -USD'!AC$10</f>
        <v>197.38716372959985</v>
      </c>
      <c r="AD47" s="11">
        <f>'Financial Data - Old Segment'!AD48/'Financial Data - Old Seg -USD'!AD$10</f>
        <v>397.17206099999999</v>
      </c>
      <c r="AE47" s="11">
        <f>'Financial Data - Old Segment'!AE48/'Financial Data - Old Seg -USD'!AE$10</f>
        <v>565.09298998569386</v>
      </c>
      <c r="AF47" s="11">
        <f>'Financial Data - Old Segment'!AF48/'Financial Data - Old Seg -USD'!AF$10</f>
        <v>791.80611231657542</v>
      </c>
      <c r="AG47" s="11">
        <f>'Financial Data - Old Segment'!AG48/'Financial Data - Old Seg -USD'!AG$10</f>
        <v>213.54007276683981</v>
      </c>
      <c r="AH47" s="11">
        <f>'Financial Data - Old Segment'!AH48/'Financial Data - Old Seg -USD'!AH$10</f>
        <v>451.66410200000001</v>
      </c>
      <c r="AI47" s="11">
        <f>'Financial Data - Old Segment'!AI48/'Financial Data - Old Seg -USD'!AI$10</f>
        <v>673.80804531031345</v>
      </c>
      <c r="AJ47" s="11">
        <f>'Financial Data - Old Segment'!AJ48/'Financial Data - Old Seg -USD'!AJ$10</f>
        <v>935.68801563897705</v>
      </c>
      <c r="AK47" s="11">
        <f>'Financial Data - Old Segment'!AK48/'Financial Data - Old Seg -USD'!AK$10</f>
        <v>246.69627383015589</v>
      </c>
      <c r="AL47" s="11">
        <f>'Financial Data - Old Segment'!AL48/'Financial Data - Old Seg -USD'!AL$10</f>
        <v>536.36263615359167</v>
      </c>
      <c r="AM47" s="11">
        <f>'Financial Data - Old Segment'!AM48/'Financial Data - Old Seg -USD'!AM$10</f>
        <v>856.43560774710636</v>
      </c>
      <c r="AN47" s="11">
        <f>'Financial Data - Old Segment'!AN48/'Financial Data - Old Seg -USD'!AN$10</f>
        <v>1333.9388119083567</v>
      </c>
      <c r="AO47" s="11">
        <f>'Financial Data - Old Segment'!AO48/'Financial Data - Old Seg -USD'!AO$10</f>
        <v>390.69144747204336</v>
      </c>
      <c r="AP47" s="11">
        <f>'Financial Data - Old Segment'!AP48/'Financial Data - Old Seg -USD'!AP$10</f>
        <v>880.50636319138414</v>
      </c>
      <c r="AQ47" s="11">
        <f>'Financial Data - Old Segment'!AQ48/'Financial Data - Old Seg -USD'!AQ$10</f>
        <v>1323.559104737071</v>
      </c>
      <c r="AR47" s="11">
        <f>'Financial Data - Old Segment'!AR48/'Financial Data - Old Seg -USD'!AR$10</f>
        <v>1885.7802115898214</v>
      </c>
      <c r="AS47" s="11">
        <f>'Financial Data - Old Segment'!AS48/'Financial Data - Old Seg -USD'!AS$10</f>
        <v>621.70989576535146</v>
      </c>
      <c r="AT47" s="11">
        <f>'Financial Data - Old Segment'!AT48/'Financial Data - Old Seg -USD'!AT$10</f>
        <v>1064.7635994803991</v>
      </c>
      <c r="AU47" s="11">
        <f>'Financial Data - Old Segment'!AU48/'Financial Data - Old Seg -USD'!AU$10</f>
        <v>1463.6955518477725</v>
      </c>
      <c r="AV47" s="11">
        <f>'Financial Data - Old Segment'!AV48/'Financial Data - Old Seg -USD'!AV$10</f>
        <v>1858.3493793200771</v>
      </c>
    </row>
    <row r="48" spans="1:48" ht="15" customHeight="1" x14ac:dyDescent="0.2">
      <c r="B48" s="26" t="s">
        <v>24</v>
      </c>
      <c r="C48" s="13">
        <f>'Financial Data - Old Segment'!C49/'Financial Data - Old Seg -USD'!C$10</f>
        <v>665.18219999999997</v>
      </c>
      <c r="D48" s="13">
        <f>'Financial Data - Old Segment'!D49/'Financial Data - Old Seg -USD'!D$10</f>
        <v>856.13659999999993</v>
      </c>
      <c r="E48" s="13">
        <f>'Financial Data - Old Segment'!E49/'Financial Data - Old Seg -USD'!E$10</f>
        <v>182.66779949022927</v>
      </c>
      <c r="F48" s="13">
        <f>'Financial Data - Old Segment'!F49/'Financial Data - Old Seg -USD'!F$10</f>
        <v>295.21552240285104</v>
      </c>
      <c r="G48" s="13">
        <f>'Financial Data - Old Segment'!G49/'Financial Data - Old Seg -USD'!G$10</f>
        <v>442.10212200000001</v>
      </c>
      <c r="H48" s="13">
        <f>'Financial Data - Old Segment'!H49/'Financial Data - Old Seg -USD'!H$10</f>
        <v>571.26656300000002</v>
      </c>
      <c r="I48" s="13">
        <f>'Financial Data - Old Segment'!I49/'Financial Data - Old Seg -USD'!I$10</f>
        <v>227.70702</v>
      </c>
      <c r="J48" s="13">
        <f>'Financial Data - Old Segment'!J49/'Financial Data - Old Seg -USD'!J$10</f>
        <v>347.548068</v>
      </c>
      <c r="K48" s="13">
        <f>'Financial Data - Old Segment'!K49/'Financial Data - Old Seg -USD'!K$10</f>
        <v>506.54290700000007</v>
      </c>
      <c r="L48" s="13">
        <f>'Financial Data - Old Segment'!L49/'Financial Data - Old Seg -USD'!L$10</f>
        <v>685.10245699999996</v>
      </c>
      <c r="M48" s="13">
        <f>'Financial Data - Old Segment'!M49/'Financial Data - Old Seg -USD'!M$10</f>
        <v>236.20419900000002</v>
      </c>
      <c r="N48" s="13">
        <f>'Financial Data - Old Segment'!N49/'Financial Data - Old Seg -USD'!N$10</f>
        <v>401.50866000000002</v>
      </c>
      <c r="O48" s="13">
        <f>'Financial Data - Old Segment'!O49/'Financial Data - Old Seg -USD'!O$10</f>
        <v>570.42230700000005</v>
      </c>
      <c r="P48" s="13">
        <f>'Financial Data - Old Segment'!P49/'Financial Data - Old Seg -USD'!P$10</f>
        <v>723.00732800000003</v>
      </c>
      <c r="Q48" s="13">
        <f>'Financial Data - Old Segment'!Q49/'Financial Data - Old Seg -USD'!Q$10</f>
        <v>251.96919</v>
      </c>
      <c r="R48" s="13">
        <f>'Financial Data - Old Segment'!R49/'Financial Data - Old Seg -USD'!R$10</f>
        <v>444.94006199999995</v>
      </c>
      <c r="S48" s="13">
        <f>'Financial Data - Old Segment'!S49/'Financial Data - Old Seg -USD'!S$10</f>
        <v>594.69351700000004</v>
      </c>
      <c r="T48" s="13">
        <f>'Financial Data - Old Segment'!T49/'Financial Data - Old Seg -USD'!T$10</f>
        <v>794.55355200000008</v>
      </c>
      <c r="U48" s="13">
        <f>'Financial Data - Old Segment'!U49/'Financial Data - Old Seg -USD'!U$10</f>
        <v>267.93233099999998</v>
      </c>
      <c r="V48" s="13">
        <f>'Financial Data - Old Segment'!V49/'Financial Data - Old Seg -USD'!V$10</f>
        <v>422.35612803361147</v>
      </c>
      <c r="W48" s="13">
        <f>'Financial Data - Old Segment'!W49/'Financial Data - Old Seg -USD'!W$10</f>
        <v>563.69775000000004</v>
      </c>
      <c r="X48" s="13">
        <f>'Financial Data - Old Segment'!X49/'Financial Data - Old Seg -USD'!X$10</f>
        <v>747.64846899999998</v>
      </c>
      <c r="Y48" s="13">
        <f>'Financial Data - Old Segment'!Y49/'Financial Data - Old Seg -USD'!Y$10</f>
        <v>232.09608958728421</v>
      </c>
      <c r="Z48" s="13">
        <f>'Financial Data - Old Segment'!Z49/'Financial Data - Old Seg -USD'!Z$10</f>
        <v>379.12062508668947</v>
      </c>
      <c r="AA48" s="13">
        <f>'Financial Data - Old Segment'!AA49/'Financial Data - Old Seg -USD'!AA$10</f>
        <v>529.65121657877637</v>
      </c>
      <c r="AB48" s="13">
        <f>'Financial Data - Old Segment'!AB49/'Financial Data - Old Seg -USD'!AB$10</f>
        <v>743.65424193917215</v>
      </c>
      <c r="AC48" s="13">
        <f>'Financial Data - Old Segment'!AC49/'Financial Data - Old Seg -USD'!AC$10</f>
        <v>238.4925318464856</v>
      </c>
      <c r="AD48" s="13">
        <f>'Financial Data - Old Segment'!AD49/'Financial Data - Old Seg -USD'!AD$10</f>
        <v>381.94127400000002</v>
      </c>
      <c r="AE48" s="13">
        <f>'Financial Data - Old Segment'!AE49/'Financial Data - Old Seg -USD'!AE$10</f>
        <v>483.39733453806195</v>
      </c>
      <c r="AF48" s="13">
        <f>'Financial Data - Old Segment'!AF49/'Financial Data - Old Seg -USD'!AF$10</f>
        <v>610.12835129270718</v>
      </c>
      <c r="AG48" s="13">
        <f>'Financial Data - Old Segment'!AG49/'Financial Data - Old Seg -USD'!AG$10</f>
        <v>248.56336495630558</v>
      </c>
      <c r="AH48" s="13">
        <f>'Financial Data - Old Segment'!AH49/'Financial Data - Old Seg -USD'!AH$10</f>
        <v>373.87369899999999</v>
      </c>
      <c r="AI48" s="13">
        <f>'Financial Data - Old Segment'!AI49/'Financial Data - Old Seg -USD'!AI$10</f>
        <v>475.44099082193128</v>
      </c>
      <c r="AJ48" s="13">
        <f>'Financial Data - Old Segment'!AJ49/'Financial Data - Old Seg -USD'!AJ$10</f>
        <v>613.29975812597252</v>
      </c>
      <c r="AK48" s="13">
        <f>'Financial Data - Old Segment'!AK49/'Financial Data - Old Seg -USD'!AK$10</f>
        <v>183.05892547660304</v>
      </c>
      <c r="AL48" s="13">
        <f>'Financial Data - Old Segment'!AL49/'Financial Data - Old Seg -USD'!AL$10</f>
        <v>317.96677302233434</v>
      </c>
      <c r="AM48" s="13">
        <f>'Financial Data - Old Segment'!AM49/'Financial Data - Old Seg -USD'!AM$10</f>
        <v>460.38290293855766</v>
      </c>
      <c r="AN48" s="13">
        <f>'Financial Data - Old Segment'!AN49/'Financial Data - Old Seg -USD'!AN$10</f>
        <v>614.7438606118817</v>
      </c>
      <c r="AO48" s="13">
        <f>'Financial Data - Old Segment'!AO49/'Financial Data - Old Seg -USD'!AO$10</f>
        <v>195.22759489683443</v>
      </c>
      <c r="AP48" s="13">
        <f>'Financial Data - Old Segment'!AP49/'Financial Data - Old Seg -USD'!AP$10</f>
        <v>353.64610866372942</v>
      </c>
      <c r="AQ48" s="13">
        <f>'Financial Data - Old Segment'!AQ49/'Financial Data - Old Seg -USD'!AQ$10</f>
        <v>468.39178617992189</v>
      </c>
      <c r="AR48" s="13">
        <f>'Financial Data - Old Segment'!AR49/'Financial Data - Old Seg -USD'!AR$10</f>
        <v>613.76783089377011</v>
      </c>
      <c r="AS48" s="13">
        <f>'Financial Data - Old Segment'!AS49/'Financial Data - Old Seg -USD'!AS$10</f>
        <v>231.47755878349426</v>
      </c>
      <c r="AT48" s="13">
        <f>'Financial Data - Old Segment'!AT49/'Financial Data - Old Seg -USD'!AT$10</f>
        <v>409.03393419577554</v>
      </c>
      <c r="AU48" s="13">
        <f>'Financial Data - Old Segment'!AU49/'Financial Data - Old Seg -USD'!AU$10</f>
        <v>535.22560261280012</v>
      </c>
      <c r="AV48" s="13">
        <f>'Financial Data - Old Segment'!AV49/'Financial Data - Old Seg -USD'!AV$10</f>
        <v>702.37057412893364</v>
      </c>
    </row>
    <row r="49" spans="2:48" ht="15" customHeight="1" x14ac:dyDescent="0.2">
      <c r="B49" s="58" t="s">
        <v>163</v>
      </c>
      <c r="C49" s="15">
        <f>'Financial Data - Old Segment'!C50/'Financial Data - Old Seg -USD'!C$10</f>
        <v>640.57619999999997</v>
      </c>
      <c r="D49" s="15">
        <f>'Financial Data - Old Segment'!D50/'Financial Data - Old Seg -USD'!D$10</f>
        <v>823.77139999999997</v>
      </c>
      <c r="E49" s="15">
        <f>'Financial Data - Old Segment'!E50/'Financial Data - Old Seg -USD'!E$10</f>
        <v>175.9922320669983</v>
      </c>
      <c r="F49" s="15">
        <f>'Financial Data - Old Segment'!F50/'Financial Data - Old Seg -USD'!F$10</f>
        <v>280.26790101536494</v>
      </c>
      <c r="G49" s="15">
        <f>'Financial Data - Old Segment'!G50/'Financial Data - Old Seg -USD'!G$10</f>
        <v>417.22191600000002</v>
      </c>
      <c r="H49" s="15">
        <f>'Financial Data - Old Segment'!H50/'Financial Data - Old Seg -USD'!H$10</f>
        <v>536.97762999999998</v>
      </c>
      <c r="I49" s="15">
        <f>'Financial Data - Old Segment'!I50/'Financial Data - Old Seg -USD'!I$10</f>
        <v>219.05149</v>
      </c>
      <c r="J49" s="15">
        <f>'Financial Data - Old Segment'!J50/'Financial Data - Old Seg -USD'!J$10</f>
        <v>328.42303199999998</v>
      </c>
      <c r="K49" s="15">
        <f>'Financial Data - Old Segment'!K50/'Financial Data - Old Seg -USD'!K$10</f>
        <v>477.48438300000004</v>
      </c>
      <c r="L49" s="15">
        <f>'Financial Data - Old Segment'!L50/'Financial Data - Old Seg -USD'!L$10</f>
        <v>646.41117899999995</v>
      </c>
      <c r="M49" s="15">
        <f>'Financial Data - Old Segment'!M50/'Financial Data - Old Seg -USD'!M$10</f>
        <v>227.927502</v>
      </c>
      <c r="N49" s="15">
        <f>'Financial Data - Old Segment'!N50/'Financial Data - Old Seg -USD'!N$10</f>
        <v>383.60700000000003</v>
      </c>
      <c r="O49" s="15">
        <f>'Financial Data - Old Segment'!O50/'Financial Data - Old Seg -USD'!O$10</f>
        <v>543.84792000000004</v>
      </c>
      <c r="P49" s="15">
        <f>'Financial Data - Old Segment'!P50/'Financial Data - Old Seg -USD'!P$10</f>
        <v>689.49043200000006</v>
      </c>
      <c r="Q49" s="15">
        <f>'Financial Data - Old Segment'!Q50/'Financial Data - Old Seg -USD'!Q$10</f>
        <v>244.70622</v>
      </c>
      <c r="R49" s="15">
        <f>'Financial Data - Old Segment'!R50/'Financial Data - Old Seg -USD'!R$10</f>
        <v>428.21299199999999</v>
      </c>
      <c r="S49" s="15">
        <f>'Financial Data - Old Segment'!S50/'Financial Data - Old Seg -USD'!S$10</f>
        <v>568.49802</v>
      </c>
      <c r="T49" s="15">
        <f>'Financial Data - Old Segment'!T50/'Financial Data - Old Seg -USD'!T$10</f>
        <v>757.16936100000009</v>
      </c>
      <c r="U49" s="15">
        <f>'Financial Data - Old Segment'!U50/'Financial Data - Old Seg -USD'!U$10</f>
        <v>258.38337999999999</v>
      </c>
      <c r="V49" s="15">
        <f>'Financial Data - Old Segment'!V50/'Financial Data - Old Seg -USD'!V$10</f>
        <v>404.11299684891361</v>
      </c>
      <c r="W49" s="15">
        <f>'Financial Data - Old Segment'!W50/'Financial Data - Old Seg -USD'!W$10</f>
        <v>535.24443499999995</v>
      </c>
      <c r="X49" s="15">
        <f>'Financial Data - Old Segment'!X50/'Financial Data - Old Seg -USD'!X$10</f>
        <v>711.39566200000002</v>
      </c>
      <c r="Y49" s="15">
        <f>'Financial Data - Old Segment'!Y50/'Financial Data - Old Seg -USD'!Y$10</f>
        <v>222.61356452632512</v>
      </c>
      <c r="Z49" s="15">
        <f>'Financial Data - Old Segment'!Z50/'Financial Data - Old Seg -USD'!Z$10</f>
        <v>363.40098941236334</v>
      </c>
      <c r="AA49" s="15">
        <f>'Financial Data - Old Segment'!AA50/'Financial Data - Old Seg -USD'!AA$10</f>
        <v>503.28430012026962</v>
      </c>
      <c r="AB49" s="15">
        <f>'Financial Data - Old Segment'!AB50/'Financial Data - Old Seg -USD'!AB$10</f>
        <v>704.77932769265942</v>
      </c>
      <c r="AC49" s="15">
        <f>'Financial Data - Old Segment'!AC50/'Financial Data - Old Seg -USD'!AC$10</f>
        <v>227.50396809246664</v>
      </c>
      <c r="AD49" s="15">
        <f>'Financial Data - Old Segment'!AD50/'Financial Data - Old Seg -USD'!AD$10</f>
        <v>361.24302499999999</v>
      </c>
      <c r="AE49" s="15">
        <f>'Financial Data - Old Segment'!AE50/'Financial Data - Old Seg -USD'!AE$10</f>
        <v>451.02025449890829</v>
      </c>
      <c r="AF49" s="15">
        <f>'Financial Data - Old Segment'!AF50/'Financial Data - Old Seg -USD'!AF$10</f>
        <v>564.89279541024609</v>
      </c>
      <c r="AG49" s="15">
        <f>'Financial Data - Old Segment'!AG50/'Financial Data - Old Seg -USD'!AG$10</f>
        <v>236.32221428814279</v>
      </c>
      <c r="AH49" s="15">
        <f>'Financial Data - Old Segment'!AH50/'Financial Data - Old Seg -USD'!AH$10</f>
        <v>350.57084700000001</v>
      </c>
      <c r="AI49" s="15">
        <f>'Financial Data - Old Segment'!AI50/'Financial Data - Old Seg -USD'!AI$10</f>
        <v>441.50261011975795</v>
      </c>
      <c r="AJ49" s="15">
        <f>'Financial Data - Old Segment'!AJ50/'Financial Data - Old Seg -USD'!AJ$10</f>
        <v>568.23829561644675</v>
      </c>
      <c r="AK49" s="15">
        <f>'Financial Data - Old Segment'!AK50/'Financial Data - Old Seg -USD'!AK$10</f>
        <v>172.49783362218363</v>
      </c>
      <c r="AL49" s="15">
        <f>'Financial Data - Old Segment'!AL50/'Financial Data - Old Seg -USD'!AL$10</f>
        <v>296.78732533832073</v>
      </c>
      <c r="AM49" s="15">
        <f>'Financial Data - Old Segment'!AM50/'Financial Data - Old Seg -USD'!AM$10</f>
        <v>422.41763134461286</v>
      </c>
      <c r="AN49" s="15">
        <f>'Financial Data - Old Segment'!AN50/'Financial Data - Old Seg -USD'!AN$10</f>
        <v>567.70476059816235</v>
      </c>
      <c r="AO49" s="15">
        <f>'Financial Data - Old Segment'!AO50/'Financial Data - Old Seg -USD'!AO$10</f>
        <v>187.16858297894709</v>
      </c>
      <c r="AP49" s="15">
        <f>'Financial Data - Old Segment'!AP50/'Financial Data - Old Seg -USD'!AP$10</f>
        <v>318.89378365149253</v>
      </c>
      <c r="AQ49" s="15">
        <f>'Financial Data - Old Segment'!AQ50/'Financial Data - Old Seg -USD'!AQ$10</f>
        <v>418.73098652759677</v>
      </c>
      <c r="AR49" s="15">
        <f>'Financial Data - Old Segment'!AR50/'Financial Data - Old Seg -USD'!AR$10</f>
        <v>551.54137595494899</v>
      </c>
      <c r="AS49" s="15">
        <f>'Financial Data - Old Segment'!AS50/'Financial Data - Old Seg -USD'!AS$10</f>
        <v>225.81066214175189</v>
      </c>
      <c r="AT49" s="15">
        <f>'Financial Data - Old Segment'!AT50/'Financial Data - Old Seg -USD'!AT$10</f>
        <v>383.11653646991829</v>
      </c>
      <c r="AU49" s="15">
        <f>'Financial Data - Old Segment'!AU50/'Financial Data - Old Seg -USD'!AU$10</f>
        <v>492.20774610387195</v>
      </c>
      <c r="AV49" s="15">
        <f>'Financial Data - Old Segment'!AV50/'Financial Data - Old Seg -USD'!AV$10</f>
        <v>640.25250387925087</v>
      </c>
    </row>
    <row r="50" spans="2:48" ht="15" customHeight="1" x14ac:dyDescent="0.2">
      <c r="B50" s="58" t="s">
        <v>7</v>
      </c>
      <c r="C50" s="15">
        <f>'Financial Data - Old Segment'!C51/'Financial Data - Old Seg -USD'!C$10</f>
        <v>24.606000000000002</v>
      </c>
      <c r="D50" s="15">
        <f>'Financial Data - Old Segment'!D51/'Financial Data - Old Seg -USD'!D$10</f>
        <v>32.365199999999994</v>
      </c>
      <c r="E50" s="15">
        <f>'Financial Data - Old Segment'!E51/'Financial Data - Old Seg -USD'!E$10</f>
        <v>6.6755674232309703</v>
      </c>
      <c r="F50" s="15">
        <f>'Financial Data - Old Segment'!F51/'Financial Data - Old Seg -USD'!F$10</f>
        <v>14.94762138748613</v>
      </c>
      <c r="G50" s="15">
        <f>'Financial Data - Old Segment'!G51/'Financial Data - Old Seg -USD'!G$10</f>
        <v>24.880206000000001</v>
      </c>
      <c r="H50" s="15">
        <f>'Financial Data - Old Segment'!H51/'Financial Data - Old Seg -USD'!H$10</f>
        <v>34.288933</v>
      </c>
      <c r="I50" s="15">
        <f>'Financial Data - Old Segment'!I51/'Financial Data - Old Seg -USD'!I$10</f>
        <v>8.6555300000000006</v>
      </c>
      <c r="J50" s="15">
        <f>'Financial Data - Old Segment'!J51/'Financial Data - Old Seg -USD'!J$10</f>
        <v>19.125035999999998</v>
      </c>
      <c r="K50" s="15">
        <f>'Financial Data - Old Segment'!K51/'Financial Data - Old Seg -USD'!K$10</f>
        <v>29.058524000000002</v>
      </c>
      <c r="L50" s="15">
        <f>'Financial Data - Old Segment'!L51/'Financial Data - Old Seg -USD'!L$10</f>
        <v>38.691277999999997</v>
      </c>
      <c r="M50" s="15">
        <f>'Financial Data - Old Segment'!M51/'Financial Data - Old Seg -USD'!M$10</f>
        <v>8.2766970000000004</v>
      </c>
      <c r="N50" s="15">
        <f>'Financial Data - Old Segment'!N51/'Financial Data - Old Seg -USD'!N$10</f>
        <v>17.90166</v>
      </c>
      <c r="O50" s="15">
        <f>'Financial Data - Old Segment'!O51/'Financial Data - Old Seg -USD'!O$10</f>
        <v>26.574387000000002</v>
      </c>
      <c r="P50" s="15">
        <f>'Financial Data - Old Segment'!P51/'Financial Data - Old Seg -USD'!P$10</f>
        <v>33.516896000000003</v>
      </c>
      <c r="Q50" s="15">
        <f>'Financial Data - Old Segment'!Q51/'Financial Data - Old Seg -USD'!Q$10</f>
        <v>7.2629700000000001</v>
      </c>
      <c r="R50" s="15">
        <f>'Financial Data - Old Segment'!R51/'Financial Data - Old Seg -USD'!R$10</f>
        <v>16.727069999999998</v>
      </c>
      <c r="S50" s="15">
        <f>'Financial Data - Old Segment'!S51/'Financial Data - Old Seg -USD'!S$10</f>
        <v>26.195497</v>
      </c>
      <c r="T50" s="15">
        <f>'Financial Data - Old Segment'!T51/'Financial Data - Old Seg -USD'!T$10</f>
        <v>37.384191000000008</v>
      </c>
      <c r="U50" s="15">
        <f>'Financial Data - Old Segment'!U51/'Financial Data - Old Seg -USD'!U$10</f>
        <v>9.5489509999999989</v>
      </c>
      <c r="V50" s="15">
        <f>'Financial Data - Old Segment'!V51/'Financial Data - Old Seg -USD'!V$10</f>
        <v>18.24313118469788</v>
      </c>
      <c r="W50" s="15">
        <f>'Financial Data - Old Segment'!W51/'Financial Data - Old Seg -USD'!W$10</f>
        <v>28.453315</v>
      </c>
      <c r="X50" s="15">
        <f>'Financial Data - Old Segment'!X51/'Financial Data - Old Seg -USD'!X$10</f>
        <v>36.252806999999997</v>
      </c>
      <c r="Y50" s="15">
        <f>'Financial Data - Old Segment'!Y51/'Financial Data - Old Seg -USD'!Y$10</f>
        <v>9.4825250609590821</v>
      </c>
      <c r="Z50" s="15">
        <f>'Financial Data - Old Segment'!Z51/'Financial Data - Old Seg -USD'!Z$10</f>
        <v>15.719635674326149</v>
      </c>
      <c r="AA50" s="15">
        <f>'Financial Data - Old Segment'!AA51/'Financial Data - Old Seg -USD'!AA$10</f>
        <v>26.366916458506772</v>
      </c>
      <c r="AB50" s="15">
        <f>'Financial Data - Old Segment'!AB51/'Financial Data - Old Seg -USD'!AB$10</f>
        <v>38.874914246512688</v>
      </c>
      <c r="AC50" s="15">
        <f>'Financial Data - Old Segment'!AC51/'Financial Data - Old Seg -USD'!AC$10</f>
        <v>10.988563754018962</v>
      </c>
      <c r="AD50" s="15">
        <f>'Financial Data - Old Segment'!AD51/'Financial Data - Old Seg -USD'!AD$10</f>
        <v>20.698249000000001</v>
      </c>
      <c r="AE50" s="15">
        <f>'Financial Data - Old Segment'!AE51/'Financial Data - Old Seg -USD'!AE$10</f>
        <v>32.377080039153682</v>
      </c>
      <c r="AF50" s="15">
        <f>'Financial Data - Old Segment'!AF51/'Financial Data - Old Seg -USD'!AF$10</f>
        <v>45.235555882461114</v>
      </c>
      <c r="AG50" s="15">
        <f>'Financial Data - Old Segment'!AG51/'Financial Data - Old Seg -USD'!AG$10</f>
        <v>12.241150668162792</v>
      </c>
      <c r="AH50" s="15">
        <f>'Financial Data - Old Segment'!AH51/'Financial Data - Old Seg -USD'!AH$10</f>
        <v>23.302852000000001</v>
      </c>
      <c r="AI50" s="15">
        <f>'Financial Data - Old Segment'!AI51/'Financial Data - Old Seg -USD'!AI$10</f>
        <v>33.778020403289055</v>
      </c>
      <c r="AJ50" s="15">
        <f>'Financial Data - Old Segment'!AJ51/'Financial Data - Old Seg -USD'!AJ$10</f>
        <v>45.392796792684088</v>
      </c>
      <c r="AK50" s="15">
        <f>'Financial Data - Old Segment'!AK51/'Financial Data - Old Seg -USD'!AK$10</f>
        <v>10.561091854419407</v>
      </c>
      <c r="AL50" s="15">
        <f>'Financial Data - Old Segment'!AL51/'Financial Data - Old Seg -USD'!AL$10</f>
        <v>21.179447684013621</v>
      </c>
      <c r="AM50" s="15">
        <f>'Financial Data - Old Segment'!AM51/'Financial Data - Old Seg -USD'!AM$10</f>
        <v>34.505788067675887</v>
      </c>
      <c r="AN50" s="15">
        <f>'Financial Data - Old Segment'!AN51/'Financial Data - Old Seg -USD'!AN$10</f>
        <v>46.920016463163734</v>
      </c>
      <c r="AO50" s="15">
        <f>'Financial Data - Old Segment'!AO51/'Financial Data - Old Seg -USD'!AO$10</f>
        <v>8.1377644773455255</v>
      </c>
      <c r="AP50" s="15">
        <f>'Financial Data - Old Segment'!AP51/'Financial Data - Old Seg -USD'!AP$10</f>
        <v>16.642192853646577</v>
      </c>
      <c r="AQ50" s="15">
        <f>'Financial Data - Old Segment'!AQ51/'Financial Data - Old Seg -USD'!AQ$10</f>
        <v>22.164276401564539</v>
      </c>
      <c r="AR50" s="15">
        <f>'Financial Data - Old Segment'!AR51/'Financial Data - Old Seg -USD'!AR$10</f>
        <v>29.606012297882021</v>
      </c>
      <c r="AS50" s="15">
        <f>'Financial Data - Old Segment'!AS51/'Financial Data - Old Seg -USD'!AS$10</f>
        <v>4.288724384195123</v>
      </c>
      <c r="AT50" s="15">
        <f>'Financial Data - Old Segment'!AT51/'Financial Data - Old Seg -USD'!AT$10</f>
        <v>11.566453725287825</v>
      </c>
      <c r="AU50" s="15">
        <f>'Financial Data - Old Segment'!AU51/'Financial Data - Old Seg -USD'!AU$10</f>
        <v>16.806595903297914</v>
      </c>
      <c r="AV50" s="15">
        <f>'Financial Data - Old Segment'!AV51/'Financial Data - Old Seg -USD'!AV$10</f>
        <v>25.567781069262292</v>
      </c>
    </row>
    <row r="51" spans="2:48" ht="15" customHeight="1" x14ac:dyDescent="0.2">
      <c r="B51" s="58" t="s">
        <v>185</v>
      </c>
      <c r="C51" s="15">
        <f>'Financial Data - Old Segment'!C52/'Financial Data - Old Seg -USD'!C$10</f>
        <v>0</v>
      </c>
      <c r="D51" s="15">
        <f>'Financial Data - Old Segment'!D52/'Financial Data - Old Seg -USD'!D$10</f>
        <v>0</v>
      </c>
      <c r="E51" s="15">
        <f>'Financial Data - Old Segment'!E52/'Financial Data - Old Seg -USD'!E$10</f>
        <v>0</v>
      </c>
      <c r="F51" s="15">
        <f>'Financial Data - Old Segment'!F52/'Financial Data - Old Seg -USD'!F$10</f>
        <v>0</v>
      </c>
      <c r="G51" s="15">
        <f>'Financial Data - Old Segment'!G52/'Financial Data - Old Seg -USD'!G$10</f>
        <v>0</v>
      </c>
      <c r="H51" s="15">
        <f>'Financial Data - Old Segment'!H52/'Financial Data - Old Seg -USD'!H$10</f>
        <v>0</v>
      </c>
      <c r="I51" s="15">
        <f>'Financial Data - Old Segment'!I52/'Financial Data - Old Seg -USD'!I$10</f>
        <v>0</v>
      </c>
      <c r="J51" s="15">
        <f>'Financial Data - Old Segment'!J52/'Financial Data - Old Seg -USD'!J$10</f>
        <v>0</v>
      </c>
      <c r="K51" s="15">
        <f>'Financial Data - Old Segment'!K52/'Financial Data - Old Seg -USD'!K$10</f>
        <v>0</v>
      </c>
      <c r="L51" s="15">
        <f>'Financial Data - Old Segment'!L52/'Financial Data - Old Seg -USD'!L$10</f>
        <v>0</v>
      </c>
      <c r="M51" s="15">
        <f>'Financial Data - Old Segment'!M52/'Financial Data - Old Seg -USD'!M$10</f>
        <v>0</v>
      </c>
      <c r="N51" s="15">
        <f>'Financial Data - Old Segment'!N52/'Financial Data - Old Seg -USD'!N$10</f>
        <v>0</v>
      </c>
      <c r="O51" s="15">
        <f>'Financial Data - Old Segment'!O52/'Financial Data - Old Seg -USD'!O$10</f>
        <v>0</v>
      </c>
      <c r="P51" s="15">
        <f>'Financial Data - Old Segment'!P52/'Financial Data - Old Seg -USD'!P$10</f>
        <v>0</v>
      </c>
      <c r="Q51" s="15">
        <f>'Financial Data - Old Segment'!Q52/'Financial Data - Old Seg -USD'!Q$10</f>
        <v>0</v>
      </c>
      <c r="R51" s="15">
        <f>'Financial Data - Old Segment'!R52/'Financial Data - Old Seg -USD'!R$10</f>
        <v>0</v>
      </c>
      <c r="S51" s="15">
        <f>'Financial Data - Old Segment'!S52/'Financial Data - Old Seg -USD'!S$10</f>
        <v>0</v>
      </c>
      <c r="T51" s="15">
        <f>'Financial Data - Old Segment'!T52/'Financial Data - Old Seg -USD'!T$10</f>
        <v>0</v>
      </c>
      <c r="U51" s="15">
        <f>'Financial Data - Old Segment'!U52/'Financial Data - Old Seg -USD'!U$10</f>
        <v>0</v>
      </c>
      <c r="V51" s="15">
        <f>'Financial Data - Old Segment'!V52/'Financial Data - Old Seg -USD'!V$10</f>
        <v>0</v>
      </c>
      <c r="W51" s="15">
        <f>'Financial Data - Old Segment'!W52/'Financial Data - Old Seg -USD'!W$10</f>
        <v>0</v>
      </c>
      <c r="X51" s="15">
        <f>'Financial Data - Old Segment'!X52/'Financial Data - Old Seg -USD'!X$10</f>
        <v>0</v>
      </c>
      <c r="Y51" s="15">
        <f>'Financial Data - Old Segment'!Y52/'Financial Data - Old Seg -USD'!Y$10</f>
        <v>0</v>
      </c>
      <c r="Z51" s="15">
        <f>'Financial Data - Old Segment'!Z52/'Financial Data - Old Seg -USD'!Z$10</f>
        <v>0</v>
      </c>
      <c r="AA51" s="15">
        <f>'Financial Data - Old Segment'!AA52/'Financial Data - Old Seg -USD'!AA$10</f>
        <v>0</v>
      </c>
      <c r="AB51" s="15">
        <f>'Financial Data - Old Segment'!AB52/'Financial Data - Old Seg -USD'!AB$10</f>
        <v>0</v>
      </c>
      <c r="AC51" s="15">
        <f>'Financial Data - Old Segment'!AC52/'Financial Data - Old Seg -USD'!AC$10</f>
        <v>0</v>
      </c>
      <c r="AD51" s="15">
        <f>'Financial Data - Old Segment'!AD52/'Financial Data - Old Seg -USD'!AD$10</f>
        <v>0</v>
      </c>
      <c r="AE51" s="15">
        <f>'Financial Data - Old Segment'!AE52/'Financial Data - Old Seg -USD'!AE$10</f>
        <v>0</v>
      </c>
      <c r="AF51" s="15">
        <f>'Financial Data - Old Segment'!AF52/'Financial Data - Old Seg -USD'!AF$10</f>
        <v>0</v>
      </c>
      <c r="AG51" s="15">
        <f>'Financial Data - Old Segment'!AG52/'Financial Data - Old Seg -USD'!AG$10</f>
        <v>0</v>
      </c>
      <c r="AH51" s="15">
        <f>'Financial Data - Old Segment'!AH52/'Financial Data - Old Seg -USD'!AH$10</f>
        <v>0</v>
      </c>
      <c r="AI51" s="15">
        <f>'Financial Data - Old Segment'!AI52/'Financial Data - Old Seg -USD'!AI$10</f>
        <v>0</v>
      </c>
      <c r="AJ51" s="15">
        <f>'Financial Data - Old Segment'!AJ52/'Financial Data - Old Seg -USD'!AJ$10</f>
        <v>0</v>
      </c>
      <c r="AK51" s="15">
        <f>'Financial Data - Old Segment'!AK52/'Financial Data - Old Seg -USD'!AK$10</f>
        <v>0</v>
      </c>
      <c r="AL51" s="15">
        <f>'Financial Data - Old Segment'!AL52/'Financial Data - Old Seg -USD'!AL$10</f>
        <v>2.7505776213004705</v>
      </c>
      <c r="AM51" s="15">
        <f>'Financial Data - Old Segment'!AM52/'Financial Data - Old Seg -USD'!AM$10</f>
        <v>3.6175422974176334</v>
      </c>
      <c r="AN51" s="15">
        <f>'Financial Data - Old Segment'!AN52/'Financial Data - Old Seg -USD'!AN$10</f>
        <v>9.3291260803951275</v>
      </c>
      <c r="AO51" s="15">
        <f>'Financial Data - Old Segment'!AO52/'Financial Data - Old Seg -USD'!AO$10</f>
        <v>0.26250853152727499</v>
      </c>
      <c r="AP51" s="15">
        <f>'Financial Data - Old Segment'!AP52/'Financial Data - Old Seg -USD'!AP$10</f>
        <v>18.110621634850688</v>
      </c>
      <c r="AQ51" s="15">
        <f>'Financial Data - Old Segment'!AQ52/'Financial Data - Old Seg -USD'!AQ$10</f>
        <v>27.596697088222516</v>
      </c>
      <c r="AR51" s="15">
        <f>'Financial Data - Old Segment'!AR52/'Financial Data - Old Seg -USD'!AR$10</f>
        <v>32.711538063394123</v>
      </c>
      <c r="AS51" s="15">
        <f>'Financial Data - Old Segment'!AS52/'Financial Data - Old Seg -USD'!AS$10</f>
        <v>1.4917302205896079</v>
      </c>
      <c r="AT51" s="15">
        <f>'Financial Data - Old Segment'!AT52/'Financial Data - Old Seg -USD'!AT$10</f>
        <v>14.413580796127905</v>
      </c>
      <c r="AU51" s="15">
        <f>'Financial Data - Old Segment'!AU52/'Financial Data - Old Seg -USD'!AU$10</f>
        <v>26.092513046256467</v>
      </c>
      <c r="AV51" s="15">
        <f>'Financial Data - Old Segment'!AV52/'Financial Data - Old Seg -USD'!AV$10</f>
        <v>36.500211595429612</v>
      </c>
    </row>
    <row r="52" spans="2:48" ht="15" customHeight="1" x14ac:dyDescent="0.2">
      <c r="B52" s="26" t="s">
        <v>149</v>
      </c>
      <c r="C52" s="13">
        <f>'Financial Data - Old Segment'!C53/'Financial Data - Old Seg -USD'!C$10</f>
        <v>20.504999999999999</v>
      </c>
      <c r="D52" s="13">
        <f>'Financial Data - Old Segment'!D53/'Financial Data - Old Seg -USD'!D$10</f>
        <v>23.888599999999997</v>
      </c>
      <c r="E52" s="13">
        <f>'Financial Data - Old Segment'!E53/'Financial Data - Old Seg -USD'!E$10</f>
        <v>3.64121859448962</v>
      </c>
      <c r="F52" s="13">
        <f>'Financial Data - Old Segment'!F53/'Financial Data - Old Seg -USD'!F$10</f>
        <v>29.89524277497226</v>
      </c>
      <c r="G52" s="13">
        <f>'Financial Data - Old Segment'!G53/'Financial Data - Old Seg -USD'!G$10</f>
        <v>33.811562000000002</v>
      </c>
      <c r="H52" s="13">
        <f>'Financial Data - Old Segment'!H53/'Financial Data - Old Seg -USD'!H$10</f>
        <v>40.758543000000003</v>
      </c>
      <c r="I52" s="13">
        <f>'Financial Data - Old Segment'!I53/'Financial Data - Old Seg -USD'!I$10</f>
        <v>6.6581000000000001</v>
      </c>
      <c r="J52" s="13">
        <f>'Financial Data - Old Segment'!J53/'Financial Data - Old Seg -USD'!J$10</f>
        <v>17.146584000000001</v>
      </c>
      <c r="K52" s="13">
        <f>'Financial Data - Old Segment'!K53/'Financial Data - Old Seg -USD'!K$10</f>
        <v>27.077261000000004</v>
      </c>
      <c r="L52" s="13">
        <f>'Financial Data - Old Segment'!L53/'Financial Data - Old Seg -USD'!L$10</f>
        <v>36.022914</v>
      </c>
      <c r="M52" s="13">
        <f>'Financial Data - Old Segment'!M53/'Financial Data - Old Seg -USD'!M$10</f>
        <v>6.3666900000000002</v>
      </c>
      <c r="N52" s="13">
        <f>'Financial Data - Old Segment'!N53/'Financial Data - Old Seg -USD'!N$10</f>
        <v>15.344280000000001</v>
      </c>
      <c r="O52" s="13">
        <f>'Financial Data - Old Segment'!O53/'Financial Data - Old Seg -USD'!O$10</f>
        <v>27.192396000000002</v>
      </c>
      <c r="P52" s="13">
        <f>'Financial Data - Old Segment'!P53/'Financial Data - Old Seg -USD'!P$10</f>
        <v>34.713928000000003</v>
      </c>
      <c r="Q52" s="13">
        <f>'Financial Data - Old Segment'!Q53/'Financial Data - Old Seg -USD'!Q$10</f>
        <v>3.3521399999999999</v>
      </c>
      <c r="R52" s="13">
        <f>'Financial Data - Old Segment'!R53/'Financial Data - Old Seg -USD'!R$10</f>
        <v>6.1332589999999998</v>
      </c>
      <c r="S52" s="13">
        <f>'Financial Data - Old Segment'!S53/'Financial Data - Old Seg -USD'!S$10</f>
        <v>32.883709000000003</v>
      </c>
      <c r="T52" s="13">
        <f>'Financial Data - Old Segment'!T53/'Financial Data - Old Seg -USD'!T$10</f>
        <v>34.036353000000005</v>
      </c>
      <c r="U52" s="13">
        <f>'Financial Data - Old Segment'!U53/'Financial Data - Old Seg -USD'!U$10</f>
        <v>5.6170299999999997</v>
      </c>
      <c r="V52" s="13">
        <f>'Financial Data - Old Segment'!V53/'Financial Data - Old Seg -USD'!V$10</f>
        <v>9.397976670904967</v>
      </c>
      <c r="W52" s="13">
        <f>'Financial Data - Old Segment'!W53/'Financial Data - Old Seg -USD'!W$10</f>
        <v>12.347664999999999</v>
      </c>
      <c r="X52" s="13">
        <f>'Financial Data - Old Segment'!X53/'Financial Data - Old Seg -USD'!X$10</f>
        <v>15.762089999999999</v>
      </c>
      <c r="Y52" s="13">
        <f>'Financial Data - Old Segment'!Y53/'Financial Data - Old Seg -USD'!Y$10</f>
        <v>3.1608416869863607</v>
      </c>
      <c r="Z52" s="13">
        <f>'Financial Data - Old Segment'!Z53/'Financial Data - Old Seg -USD'!Z$10</f>
        <v>6.0104489343011744</v>
      </c>
      <c r="AA52" s="13">
        <f>'Financial Data - Old Segment'!AA53/'Financial Data - Old Seg -USD'!AA$10</f>
        <v>9.25154963456378</v>
      </c>
      <c r="AB52" s="13">
        <f>'Financial Data - Old Segment'!AB53/'Financial Data - Old Seg -USD'!AB$10</f>
        <v>11.891150240109765</v>
      </c>
      <c r="AC52" s="13">
        <f>'Financial Data - Old Segment'!AC53/'Financial Data - Old Seg -USD'!AC$10</f>
        <v>2.8488868991901009</v>
      </c>
      <c r="AD52" s="13">
        <f>'Financial Data - Old Segment'!AD53/'Financial Data - Old Seg -USD'!AD$10</f>
        <v>5.4674620000000003</v>
      </c>
      <c r="AE52" s="13">
        <f>'Financial Data - Old Segment'!AE53/'Financial Data - Old Seg -USD'!AE$10</f>
        <v>7.9060311723514802</v>
      </c>
      <c r="AF52" s="13">
        <f>'Financial Data - Old Segment'!AF53/'Financial Data - Old Seg -USD'!AF$10</f>
        <v>10.297524916332611</v>
      </c>
      <c r="AG52" s="13">
        <f>'Financial Data - Old Segment'!AG53/'Financial Data - Old Seg -USD'!AG$10</f>
        <v>2.3802237410316542</v>
      </c>
      <c r="AH52" s="13">
        <f>'Financial Data - Old Segment'!AH53/'Financial Data - Old Seg -USD'!AH$10</f>
        <v>4.7976460000000003</v>
      </c>
      <c r="AI52" s="13">
        <f>'Financial Data - Old Segment'!AI53/'Financial Data - Old Seg -USD'!AI$10</f>
        <v>8.0487222354907964</v>
      </c>
      <c r="AJ52" s="13">
        <f>'Financial Data - Old Segment'!AJ53/'Financial Data - Old Seg -USD'!AJ$10</f>
        <v>10.934031344223174</v>
      </c>
      <c r="AK52" s="13">
        <f>'Financial Data - Old Segment'!AK53/'Financial Data - Old Seg -USD'!AK$10</f>
        <v>11.373483535528592</v>
      </c>
      <c r="AL52" s="13">
        <f>'Financial Data - Old Segment'!AL53/'Financial Data - Old Seg -USD'!AL$10</f>
        <v>61.062823192870439</v>
      </c>
      <c r="AM52" s="13">
        <f>'Financial Data - Old Segment'!AM53/'Financial Data - Old Seg -USD'!AM$10</f>
        <v>87.023319234194162</v>
      </c>
      <c r="AN52" s="13">
        <f>'Financial Data - Old Segment'!AN53/'Financial Data - Old Seg -USD'!AN$10</f>
        <v>96.239264645356144</v>
      </c>
      <c r="AO52" s="13">
        <f>'Financial Data - Old Segment'!AO53/'Financial Data - Old Seg -USD'!AO$10</f>
        <v>6.3789573161127828</v>
      </c>
      <c r="AP52" s="13">
        <f>'Financial Data - Old Segment'!AP53/'Financial Data - Old Seg -USD'!AP$10</f>
        <v>9.8458149779735553</v>
      </c>
      <c r="AQ52" s="13">
        <f>'Financial Data - Old Segment'!AQ53/'Financial Data - Old Seg -USD'!AQ$10</f>
        <v>17.708604954367669</v>
      </c>
      <c r="AR52" s="13">
        <f>'Financial Data - Old Segment'!AR53/'Financial Data - Old Seg -USD'!AR$10</f>
        <v>27.838968137305638</v>
      </c>
      <c r="AS52" s="13">
        <f>'Financial Data - Old Segment'!AS53/'Financial Data - Old Seg -USD'!AS$10</f>
        <v>8.5224412165060031</v>
      </c>
      <c r="AT52" s="13">
        <f>'Financial Data - Old Segment'!AT53/'Financial Data - Old Seg -USD'!AT$10</f>
        <v>11.87643468512554</v>
      </c>
      <c r="AU52" s="13">
        <f>'Financial Data - Old Segment'!AU53/'Financial Data - Old Seg -USD'!AU$10</f>
        <v>18.297419148709533</v>
      </c>
      <c r="AV52" s="93"/>
    </row>
    <row r="53" spans="2:48" ht="15" customHeight="1" x14ac:dyDescent="0.2">
      <c r="B53" s="26" t="s">
        <v>148</v>
      </c>
      <c r="C53" s="13">
        <f>'Financial Data - Old Segment'!C54/'Financial Data - Old Seg -USD'!C$10</f>
        <v>34.448399999999999</v>
      </c>
      <c r="D53" s="13">
        <f>'Financial Data - Old Segment'!D54/'Financial Data - Old Seg -USD'!D$10</f>
        <v>44.694799999999994</v>
      </c>
      <c r="E53" s="13">
        <f>'Financial Data - Old Segment'!E54/'Financial Data - Old Seg -USD'!E$10</f>
        <v>9.1030464862240503</v>
      </c>
      <c r="F53" s="13">
        <f>'Financial Data - Old Segment'!F54/'Financial Data - Old Seg -USD'!F$10</f>
        <v>21.17579696560535</v>
      </c>
      <c r="G53" s="13">
        <f>'Financial Data - Old Segment'!G54/'Financial Data - Old Seg -USD'!G$10</f>
        <v>31.8977</v>
      </c>
      <c r="H53" s="13">
        <f>'Financial Data - Old Segment'!H54/'Financial Data - Old Seg -USD'!H$10</f>
        <v>40.758543000000003</v>
      </c>
      <c r="I53" s="13">
        <f>'Financial Data - Old Segment'!I54/'Financial Data - Old Seg -USD'!I$10</f>
        <v>10.65296</v>
      </c>
      <c r="J53" s="13">
        <f>'Financial Data - Old Segment'!J54/'Financial Data - Old Seg -USD'!J$10</f>
        <v>23.741423999999999</v>
      </c>
      <c r="K53" s="13">
        <f>'Financial Data - Old Segment'!K54/'Financial Data - Old Seg -USD'!K$10</f>
        <v>35.002313000000001</v>
      </c>
      <c r="L53" s="13">
        <f>'Financial Data - Old Segment'!L54/'Financial Data - Old Seg -USD'!L$10</f>
        <v>47.363461000000001</v>
      </c>
      <c r="M53" s="13">
        <f>'Financial Data - Old Segment'!M54/'Financial Data - Old Seg -USD'!M$10</f>
        <v>13.370049000000002</v>
      </c>
      <c r="N53" s="13">
        <f>'Financial Data - Old Segment'!N54/'Financial Data - Old Seg -USD'!N$10</f>
        <v>25.573800000000002</v>
      </c>
      <c r="O53" s="13">
        <f>'Financial Data - Old Segment'!O54/'Financial Data - Old Seg -USD'!O$10</f>
        <v>38.316558000000001</v>
      </c>
      <c r="P53" s="13">
        <f>'Financial Data - Old Segment'!P54/'Financial Data - Old Seg -USD'!P$10</f>
        <v>48.479796</v>
      </c>
      <c r="Q53" s="13">
        <f>'Financial Data - Old Segment'!Q54/'Financial Data - Old Seg -USD'!Q$10</f>
        <v>10.056419999999999</v>
      </c>
      <c r="R53" s="13">
        <f>'Financial Data - Old Segment'!R54/'Financial Data - Old Seg -USD'!R$10</f>
        <v>21.745190999999998</v>
      </c>
      <c r="S53" s="13">
        <f>'Financial Data - Old Segment'!S54/'Financial Data - Old Seg -USD'!S$10</f>
        <v>32.326357999999999</v>
      </c>
      <c r="T53" s="13">
        <f>'Financial Data - Old Segment'!T54/'Financial Data - Old Seg -USD'!T$10</f>
        <v>37.942164000000005</v>
      </c>
      <c r="U53" s="13">
        <f>'Financial Data - Old Segment'!U54/'Financial Data - Old Seg -USD'!U$10</f>
        <v>10.110653999999998</v>
      </c>
      <c r="V53" s="13">
        <f>'Financial Data - Old Segment'!V54/'Financial Data - Old Seg -USD'!V$10</f>
        <v>19.901597656034049</v>
      </c>
      <c r="W53" s="13">
        <f>'Financial Data - Old Segment'!W54/'Financial Data - Old Seg -USD'!W$10</f>
        <v>26.842749999999999</v>
      </c>
      <c r="X53" s="13">
        <f>'Financial Data - Old Segment'!X54/'Financial Data - Old Seg -USD'!X$10</f>
        <v>35.202000999999996</v>
      </c>
      <c r="Y53" s="13">
        <f>'Financial Data - Old Segment'!Y54/'Financial Data - Old Seg -USD'!Y$10</f>
        <v>8.5794274361058367</v>
      </c>
      <c r="Z53" s="13">
        <f>'Financial Data - Old Segment'!Z54/'Financial Data - Old Seg -USD'!Z$10</f>
        <v>16.644320125757098</v>
      </c>
      <c r="AA53" s="13">
        <f>'Financial Data - Old Segment'!AA54/'Financial Data - Old Seg -USD'!AA$10</f>
        <v>23.591451568137639</v>
      </c>
      <c r="AB53" s="13">
        <f>'Financial Data - Old Segment'!AB54/'Financial Data - Old Seg -USD'!AB$10</f>
        <v>25.154356277155269</v>
      </c>
      <c r="AC53" s="13">
        <f>'Financial Data - Old Segment'!AC54/'Financial Data - Old Seg -USD'!AC$10</f>
        <v>5.2907899556387594</v>
      </c>
      <c r="AD53" s="13">
        <f>'Financial Data - Old Segment'!AD54/'Financial Data - Old Seg -USD'!AD$10</f>
        <v>12.106522999999999</v>
      </c>
      <c r="AE53" s="13">
        <f>'Financial Data - Old Segment'!AE54/'Financial Data - Old Seg -USD'!AE$10</f>
        <v>15.435584669829082</v>
      </c>
      <c r="AF53" s="13">
        <f>'Financial Data - Old Segment'!AF54/'Financial Data - Old Seg -USD'!AF$10</f>
        <v>17.65289985657019</v>
      </c>
      <c r="AG53" s="13">
        <f>'Financial Data - Old Segment'!AG54/'Financial Data - Old Seg -USD'!AG$10</f>
        <v>2.3802237410316542</v>
      </c>
      <c r="AH53" s="13">
        <f>'Financial Data - Old Segment'!AH54/'Financial Data - Old Seg -USD'!AH$10</f>
        <v>4.7976460000000003</v>
      </c>
      <c r="AI53" s="13">
        <f>'Financial Data - Old Segment'!AI54/'Financial Data - Old Seg -USD'!AI$10</f>
        <v>7.4956498004025987</v>
      </c>
      <c r="AJ53" s="13">
        <f>'Financial Data - Old Segment'!AJ54/'Financial Data - Old Seg -USD'!AJ$10</f>
        <v>9.9400284947483399</v>
      </c>
      <c r="AK53" s="13">
        <f>'Financial Data - Old Segment'!AK54/'Financial Data - Old Seg -USD'!AK$10</f>
        <v>2.1663778162911602</v>
      </c>
      <c r="AL53" s="13">
        <f>'Financial Data - Old Segment'!AL54/'Financial Data - Old Seg -USD'!AL$10</f>
        <v>4.6759819562107996</v>
      </c>
      <c r="AM53" s="13">
        <f>'Financial Data - Old Segment'!AM54/'Financial Data - Old Seg -USD'!AM$10</f>
        <v>7.1129229741763167</v>
      </c>
      <c r="AN53" s="13">
        <f>'Financial Data - Old Segment'!AN54/'Financial Data - Old Seg -USD'!AN$10</f>
        <v>9.4429962957881859</v>
      </c>
      <c r="AO53" s="13">
        <f>'Financial Data - Old Segment'!AO54/'Financial Data - Old Seg -USD'!AO$10</f>
        <v>2.5200819026618397</v>
      </c>
      <c r="AP53" s="13">
        <f>'Financial Data - Old Segment'!AP54/'Financial Data - Old Seg -USD'!AP$10</f>
        <v>4.7799804209495784</v>
      </c>
      <c r="AQ53" s="13">
        <f>'Financial Data - Old Segment'!AQ54/'Financial Data - Old Seg -USD'!AQ$10</f>
        <v>6.6097348978704922</v>
      </c>
      <c r="AR53" s="13">
        <f>'Financial Data - Old Segment'!AR54/'Financial Data - Old Seg -USD'!AR$10</f>
        <v>15.342125421833911</v>
      </c>
      <c r="AS53" s="13">
        <f>'Financial Data - Old Segment'!AS54/'Financial Data - Old Seg -USD'!AS$10</f>
        <v>2.222491562400942</v>
      </c>
      <c r="AT53" s="13">
        <f>'Financial Data - Old Segment'!AT54/'Financial Data - Old Seg -USD'!AT$10</f>
        <v>4.1964873569763501</v>
      </c>
      <c r="AU53" s="13">
        <f>'Financial Data - Old Segment'!AU54/'Financial Data - Old Seg -USD'!AU$10</f>
        <v>6.2645106322553019</v>
      </c>
      <c r="AV53" s="13">
        <f>'Financial Data - Old Segment'!AV54/'Financial Data - Old Seg -USD'!AV$10</f>
        <v>14.282515164339145</v>
      </c>
    </row>
    <row r="54" spans="2:48" ht="15" customHeight="1" x14ac:dyDescent="0.2">
      <c r="B54" s="49" t="s">
        <v>133</v>
      </c>
      <c r="C54" s="50">
        <f>'Financial Data - Old Segment'!C55/'Financial Data - Old Seg -USD'!C$10</f>
        <v>1459.1358</v>
      </c>
      <c r="D54" s="50">
        <f>'Financial Data - Old Segment'!D55/'Financial Data - Old Seg -USD'!D$10</f>
        <v>1940.3707999999999</v>
      </c>
      <c r="E54" s="50">
        <f>'Financial Data - Old Segment'!E55/'Financial Data - Old Seg -USD'!E$10</f>
        <v>390.82412914188592</v>
      </c>
      <c r="F54" s="50">
        <f>'Financial Data - Old Segment'!F55/'Financial Data - Old Seg -USD'!F$10</f>
        <v>749.24952204774229</v>
      </c>
      <c r="G54" s="50">
        <f>'Financial Data - Old Segment'!G55/'Financial Data - Old Seg -USD'!G$10</f>
        <v>1149.593108</v>
      </c>
      <c r="H54" s="50">
        <f>'Financial Data - Old Segment'!H55/'Financial Data - Old Seg -USD'!H$10</f>
        <v>1520.35835</v>
      </c>
      <c r="I54" s="50">
        <f>'Financial Data - Old Segment'!I55/'Financial Data - Old Seg -USD'!I$10</f>
        <v>400.81761999999998</v>
      </c>
      <c r="J54" s="50">
        <f>'Financial Data - Old Segment'!J55/'Financial Data - Old Seg -USD'!J$10</f>
        <v>727.41085199999998</v>
      </c>
      <c r="K54" s="50">
        <f>'Financial Data - Old Segment'!K55/'Financial Data - Old Seg -USD'!K$10</f>
        <v>1082.4300190000001</v>
      </c>
      <c r="L54" s="50">
        <f>'Financial Data - Old Segment'!L55/'Financial Data - Old Seg -USD'!L$10</f>
        <v>1508.959842</v>
      </c>
      <c r="M54" s="50">
        <f>'Financial Data - Old Segment'!M55/'Financial Data - Old Seg -USD'!M$10</f>
        <v>439.30161000000004</v>
      </c>
      <c r="N54" s="50">
        <f>'Financial Data - Old Segment'!N55/'Financial Data - Old Seg -USD'!N$10</f>
        <v>890.60758499999997</v>
      </c>
      <c r="O54" s="50">
        <f>'Financial Data - Old Segment'!O55/'Financial Data - Old Seg -USD'!O$10</f>
        <v>1352.203692</v>
      </c>
      <c r="P54" s="50">
        <f>'Financial Data - Old Segment'!P55/'Financial Data - Old Seg -USD'!P$10</f>
        <v>1921.8348760000001</v>
      </c>
      <c r="Q54" s="50">
        <f>'Financial Data - Old Segment'!Q55/'Financial Data - Old Seg -USD'!Q$10</f>
        <v>558.69000000000005</v>
      </c>
      <c r="R54" s="50">
        <f>'Financial Data - Old Segment'!R55/'Financial Data - Old Seg -USD'!R$10</f>
        <v>1098.9684990000001</v>
      </c>
      <c r="S54" s="50">
        <f>'Financial Data - Old Segment'!S55/'Financial Data - Old Seg -USD'!S$10</f>
        <v>1629.6943240000001</v>
      </c>
      <c r="T54" s="50">
        <f>'Financial Data - Old Segment'!T55/'Financial Data - Old Seg -USD'!T$10</f>
        <v>2203.4353770000002</v>
      </c>
      <c r="U54" s="50">
        <f>'Financial Data - Old Segment'!U55/'Financial Data - Old Seg -USD'!U$10</f>
        <v>594.84347699999989</v>
      </c>
      <c r="V54" s="50">
        <f>'Financial Data - Old Segment'!V55/'Financial Data - Old Seg -USD'!V$10</f>
        <v>1085.7427165680799</v>
      </c>
      <c r="W54" s="50">
        <f>'Financial Data - Old Segment'!W55/'Financial Data - Old Seg -USD'!W$10</f>
        <v>1541.3107050000001</v>
      </c>
      <c r="X54" s="50">
        <f>'Financial Data - Old Segment'!X55/'Financial Data - Old Seg -USD'!X$10</f>
        <v>2020.699938</v>
      </c>
      <c r="Y54" s="50">
        <f>'Financial Data - Old Segment'!Y55/'Financial Data - Old Seg -USD'!Y$10</f>
        <v>518.82958547818976</v>
      </c>
      <c r="Z54" s="50">
        <f>'Financial Data - Old Segment'!Z55/'Financial Data - Old Seg -USD'!Z$10</f>
        <v>990.3370474825474</v>
      </c>
      <c r="AA54" s="50">
        <f>'Financial Data - Old Segment'!AA55/'Financial Data - Old Seg -USD'!AA$10</f>
        <v>1478.8602090850202</v>
      </c>
      <c r="AB54" s="50">
        <f>'Financial Data - Old Segment'!AB55/'Financial Data - Old Seg -USD'!AB$10</f>
        <v>2046.649897095815</v>
      </c>
      <c r="AC54" s="50">
        <f>'Financial Data - Old Segment'!AC55/'Financial Data - Old Seg -USD'!AC$10</f>
        <v>444.0193724309143</v>
      </c>
      <c r="AD54" s="50">
        <f>'Financial Data - Old Segment'!AD55/'Financial Data - Old Seg -USD'!AD$10</f>
        <v>796.68732</v>
      </c>
      <c r="AE54" s="50">
        <f>'Financial Data - Old Segment'!AE55/'Financial Data - Old Seg -USD'!AE$10</f>
        <v>1071.8319403659364</v>
      </c>
      <c r="AF54" s="50">
        <f>'Financial Data - Old Segment'!AF55/'Financial Data - Old Seg -USD'!AF$10</f>
        <v>1429.8848883821854</v>
      </c>
      <c r="AG54" s="50">
        <f>'Financial Data - Old Segment'!AG55/'Financial Data - Old Seg -USD'!AG$10</f>
        <v>466.8638852052087</v>
      </c>
      <c r="AH54" s="50">
        <f>'Financial Data - Old Segment'!AH55/'Financial Data - Old Seg -USD'!AH$10</f>
        <v>835.47578199999998</v>
      </c>
      <c r="AI54" s="50">
        <f>'Financial Data - Old Segment'!AI55/'Financial Data - Old Seg -USD'!AI$10</f>
        <v>1164.7934081681381</v>
      </c>
      <c r="AJ54" s="50">
        <f>'Financial Data - Old Segment'!AJ55/'Financial Data - Old Seg -USD'!AJ$10</f>
        <v>1569.5304993207628</v>
      </c>
      <c r="AK54" s="50">
        <f>'Financial Data - Old Segment'!AK55/'Financial Data - Old Seg -USD'!AK$10</f>
        <v>443.29506065857868</v>
      </c>
      <c r="AL54" s="50">
        <f>'Financial Data - Old Segment'!AL55/'Financial Data - Old Seg -USD'!AL$10</f>
        <v>919.79315656287724</v>
      </c>
      <c r="AM54" s="50">
        <f>'Financial Data - Old Segment'!AM55/'Financial Data - Old Seg -USD'!AM$10</f>
        <v>1410.9547528940345</v>
      </c>
      <c r="AN54" s="50">
        <f>'Financial Data - Old Segment'!AN55/'Financial Data - Old Seg -USD'!AN$10</f>
        <v>2054.3649334613829</v>
      </c>
      <c r="AO54" s="50">
        <f>'Financial Data - Old Segment'!AO55/'Financial Data - Old Seg -USD'!AO$10</f>
        <v>594.81808158765239</v>
      </c>
      <c r="AP54" s="50">
        <f>'Financial Data - Old Segment'!AP55/'Financial Data - Old Seg -USD'!AP$10</f>
        <v>1248.7782672540368</v>
      </c>
      <c r="AQ54" s="50">
        <f>'Financial Data - Old Segment'!AQ55/'Financial Data - Old Seg -USD'!AQ$10</f>
        <v>1816.2692307692309</v>
      </c>
      <c r="AR54" s="50">
        <f>'Financial Data - Old Segment'!AR55/'Financial Data - Old Seg -USD'!AR$10</f>
        <v>2514.8901679054256</v>
      </c>
      <c r="AS54" s="50">
        <f>'Financial Data - Old Segment'!AS55/'Financial Data - Old Seg -USD'!AS$10</f>
        <v>855.40994611124665</v>
      </c>
      <c r="AT54" s="50">
        <f>'Financial Data - Old Segment'!AT55/'Financial Data - Old Seg -USD'!AT$10</f>
        <v>1477.9940210331511</v>
      </c>
      <c r="AU54" s="50">
        <f>'Financial Data - Old Segment'!AU55/'Financial Data - Old Seg -USD'!AU$10</f>
        <v>2005.1856650928282</v>
      </c>
      <c r="AV54" s="50">
        <f>'Financial Data - Old Segment'!AV55/'Financial Data - Old Seg -USD'!AV$10</f>
        <v>2575.0024686133497</v>
      </c>
    </row>
    <row r="55" spans="2:48" ht="15" customHeight="1" x14ac:dyDescent="0.2">
      <c r="B55" s="48" t="s">
        <v>11</v>
      </c>
      <c r="C55" s="13">
        <f>'Financial Data - Old Segment'!C56/'Financial Data - Old Seg -USD'!C$10</f>
        <v>82.840199999999996</v>
      </c>
      <c r="D55" s="13">
        <f>'Financial Data - Old Segment'!D56/'Financial Data - Old Seg -USD'!D$10</f>
        <v>86.307199999999995</v>
      </c>
      <c r="E55" s="13">
        <f>'Financial Data - Old Segment'!E56/'Financial Data - Old Seg -USD'!E$10</f>
        <v>30.950358053161771</v>
      </c>
      <c r="F55" s="13">
        <f>'Financial Data - Old Segment'!F56/'Financial Data - Old Seg -USD'!F$10</f>
        <v>47.956951951518</v>
      </c>
      <c r="G55" s="13">
        <f>'Financial Data - Old Segment'!G56/'Financial Data - Old Seg -USD'!G$10</f>
        <v>72.726756000000009</v>
      </c>
      <c r="H55" s="13">
        <f>'Financial Data - Old Segment'!H56/'Financial Data - Old Seg -USD'!H$10</f>
        <v>97.044150000000002</v>
      </c>
      <c r="I55" s="13">
        <f>'Financial Data - Old Segment'!I56/'Financial Data - Old Seg -USD'!I$10</f>
        <v>25.96659</v>
      </c>
      <c r="J55" s="13">
        <f>'Financial Data - Old Segment'!J56/'Financial Data - Old Seg -USD'!J$10</f>
        <v>50.120784</v>
      </c>
      <c r="K55" s="13">
        <f>'Financial Data - Old Segment'!K56/'Financial Data - Old Seg -USD'!K$10</f>
        <v>66.042100000000005</v>
      </c>
      <c r="L55" s="13">
        <f>'Financial Data - Old Segment'!L56/'Financial Data - Old Seg -USD'!L$10</f>
        <v>98.062376999999998</v>
      </c>
      <c r="M55" s="13">
        <f>'Financial Data - Old Segment'!M56/'Financial Data - Old Seg -USD'!M$10</f>
        <v>7.640028</v>
      </c>
      <c r="N55" s="13">
        <f>'Financial Data - Old Segment'!N56/'Financial Data - Old Seg -USD'!N$10</f>
        <v>37.082010000000004</v>
      </c>
      <c r="O55" s="13">
        <f>'Financial Data - Old Segment'!O56/'Financial Data - Old Seg -USD'!O$10</f>
        <v>63.654927000000008</v>
      </c>
      <c r="P55" s="13">
        <f>'Financial Data - Old Segment'!P56/'Financial Data - Old Seg -USD'!P$10</f>
        <v>103.54326800000001</v>
      </c>
      <c r="Q55" s="13">
        <f>'Financial Data - Old Segment'!Q56/'Financial Data - Old Seg -USD'!Q$10</f>
        <v>31.845330000000001</v>
      </c>
      <c r="R55" s="13">
        <f>'Financial Data - Old Segment'!R56/'Financial Data - Old Seg -USD'!R$10</f>
        <v>54.641762</v>
      </c>
      <c r="S55" s="13">
        <f>'Financial Data - Old Segment'!S56/'Financial Data - Old Seg -USD'!S$10</f>
        <v>81.930597000000006</v>
      </c>
      <c r="T55" s="13">
        <f>'Financial Data - Old Segment'!T56/'Financial Data - Old Seg -USD'!T$10</f>
        <v>79.232166000000007</v>
      </c>
      <c r="U55" s="13">
        <f>'Financial Data - Old Segment'!U56/'Financial Data - Old Seg -USD'!U$10</f>
        <v>32.017070999999994</v>
      </c>
      <c r="V55" s="13">
        <f>'Financial Data - Old Segment'!V56/'Financial Data - Old Seg -USD'!V$10</f>
        <v>-28.193930012714905</v>
      </c>
      <c r="W55" s="13">
        <f>'Financial Data - Old Segment'!W56/'Financial Data - Old Seg -USD'!W$10</f>
        <v>-14.495085</v>
      </c>
      <c r="X55" s="13">
        <f>'Financial Data - Old Segment'!X56/'Financial Data - Old Seg -USD'!X$10</f>
        <v>-52.540299999999995</v>
      </c>
      <c r="Y55" s="13">
        <f>'Financial Data - Old Segment'!Y56/'Financial Data - Old Seg -USD'!Y$10</f>
        <v>23.480538246184395</v>
      </c>
      <c r="Z55" s="13">
        <f>'Financial Data - Old Segment'!Z56/'Financial Data - Old Seg -USD'!Z$10</f>
        <v>49.932960377271293</v>
      </c>
      <c r="AA55" s="13">
        <f>'Financial Data - Old Segment'!AA56/'Financial Data - Old Seg -USD'!AA$10</f>
        <v>67.998889814043778</v>
      </c>
      <c r="AB55" s="13">
        <f>'Financial Data - Old Segment'!AB56/'Financial Data - Old Seg -USD'!AB$10</f>
        <v>-17.37937342785273</v>
      </c>
      <c r="AC55" s="13">
        <f>'Financial Data - Old Segment'!AC56/'Financial Data - Old Seg -USD'!AC$10</f>
        <v>7.3257091693459744</v>
      </c>
      <c r="AD55" s="13">
        <f>'Financial Data - Old Segment'!AD56/'Financial Data - Old Seg -USD'!AD$10</f>
        <v>30.852107</v>
      </c>
      <c r="AE55" s="13">
        <f>'Financial Data - Old Segment'!AE56/'Financial Data - Old Seg -USD'!AE$10</f>
        <v>51.577441457721562</v>
      </c>
      <c r="AF55" s="13">
        <f>'Financial Data - Old Segment'!AF56/'Financial Data - Old Seg -USD'!AF$10</f>
        <v>60.314074509948156</v>
      </c>
      <c r="AG55" s="13">
        <f>'Financial Data - Old Segment'!AG56/'Financial Data - Old Seg -USD'!AG$10</f>
        <v>24.142269373321064</v>
      </c>
      <c r="AH55" s="13">
        <f>'Financial Data - Old Segment'!AH56/'Financial Data - Old Seg -USD'!AH$10</f>
        <v>45.234948000000003</v>
      </c>
      <c r="AI55" s="13">
        <f>'Financial Data - Old Segment'!AI56/'Financial Data - Old Seg -USD'!AI$10</f>
        <v>47.425705414718976</v>
      </c>
      <c r="AJ55" s="13">
        <f>'Financial Data - Old Segment'!AJ56/'Financial Data - Old Seg -USD'!AJ$10</f>
        <v>86.478247904310564</v>
      </c>
      <c r="AK55" s="13">
        <f>'Financial Data - Old Segment'!AK56/'Financial Data - Old Seg -USD'!AK$10</f>
        <v>17.331022530329282</v>
      </c>
      <c r="AL55" s="13">
        <f>'Financial Data - Old Segment'!AL56/'Financial Data - Old Seg -USD'!AL$10</f>
        <v>64.088458576300951</v>
      </c>
      <c r="AM55" s="13">
        <f>'Financial Data - Old Segment'!AM56/'Financial Data - Old Seg -USD'!AM$10</f>
        <v>94.89091718610868</v>
      </c>
      <c r="AN55" s="13">
        <f>'Financial Data - Old Segment'!AN56/'Financial Data - Old Seg -USD'!AN$10</f>
        <v>150.36356153107442</v>
      </c>
      <c r="AO55" s="13">
        <f>'Financial Data - Old Segment'!AO56/'Financial Data - Old Seg -USD'!AO$10</f>
        <v>42.526382107418549</v>
      </c>
      <c r="AP55" s="13">
        <f>'Financial Data - Old Segment'!AP56/'Financial Data - Old Seg -USD'!AP$10</f>
        <v>83.945178658834948</v>
      </c>
      <c r="AQ55" s="13">
        <f>'Financial Data - Old Segment'!AQ56/'Financial Data - Old Seg -USD'!AQ$10</f>
        <v>124.02390265102132</v>
      </c>
      <c r="AR55" s="13">
        <f>'Financial Data - Old Segment'!AR56/'Financial Data - Old Seg -USD'!AR$10</f>
        <v>197.8772696217469</v>
      </c>
      <c r="AS55" s="13">
        <f>'Financial Data - Old Segment'!AS56/'Financial Data - Old Seg -USD'!AS$10</f>
        <v>149.72067351619475</v>
      </c>
      <c r="AT55" s="13">
        <f>'Financial Data - Old Segment'!AT56/'Financial Data - Old Seg -USD'!AT$10</f>
        <v>191.56004768937839</v>
      </c>
      <c r="AU55" s="13">
        <f>'Financial Data - Old Segment'!AU56/'Financial Data - Old Seg -USD'!AU$10</f>
        <v>247.61475380737636</v>
      </c>
      <c r="AV55" s="13">
        <f>'Financial Data - Old Segment'!AV56/'Financial Data - Old Seg -USD'!AV$10</f>
        <v>255.32409366624398</v>
      </c>
    </row>
    <row r="56" spans="2:48" ht="15" customHeight="1" x14ac:dyDescent="0.2">
      <c r="B56" s="26" t="s">
        <v>24</v>
      </c>
      <c r="C56" s="13">
        <f>'Financial Data - Old Segment'!C57/'Financial Data - Old Seg -USD'!C$10</f>
        <v>181.26420000000002</v>
      </c>
      <c r="D56" s="13">
        <f>'Financial Data - Old Segment'!D57/'Financial Data - Old Seg -USD'!D$10</f>
        <v>114.04879999999999</v>
      </c>
      <c r="E56" s="13">
        <f>'Financial Data - Old Segment'!E57/'Financial Data - Old Seg -USD'!E$10</f>
        <v>25.488530161427342</v>
      </c>
      <c r="F56" s="13">
        <f>'Financial Data - Old Segment'!F57/'Financial Data - Old Seg -USD'!F$10</f>
        <v>1.8684526734357663</v>
      </c>
      <c r="G56" s="13">
        <f>'Financial Data - Old Segment'!G57/'Financial Data - Old Seg -USD'!G$10</f>
        <v>17.224758000000001</v>
      </c>
      <c r="H56" s="13">
        <f>'Financial Data - Old Segment'!H57/'Financial Data - Old Seg -USD'!H$10</f>
        <v>27.172362</v>
      </c>
      <c r="I56" s="13">
        <f>'Financial Data - Old Segment'!I57/'Financial Data - Old Seg -USD'!I$10</f>
        <v>45.275079999999996</v>
      </c>
      <c r="J56" s="13">
        <f>'Financial Data - Old Segment'!J57/'Financial Data - Old Seg -USD'!J$10</f>
        <v>62.650979999999997</v>
      </c>
      <c r="K56" s="13">
        <f>'Financial Data - Old Segment'!K57/'Financial Data - Old Seg -USD'!K$10</f>
        <v>77.26925700000001</v>
      </c>
      <c r="L56" s="13">
        <f>'Financial Data - Old Segment'!L57/'Financial Data - Old Seg -USD'!L$10</f>
        <v>98.062376999999998</v>
      </c>
      <c r="M56" s="13">
        <f>'Financial Data - Old Segment'!M57/'Financial Data - Old Seg -USD'!M$10</f>
        <v>52.206858000000004</v>
      </c>
      <c r="N56" s="13">
        <f>'Financial Data - Old Segment'!N57/'Financial Data - Old Seg -USD'!N$10</f>
        <v>85.032885000000007</v>
      </c>
      <c r="O56" s="13">
        <f>'Financial Data - Old Segment'!O57/'Financial Data - Old Seg -USD'!O$10</f>
        <v>111.24162000000001</v>
      </c>
      <c r="P56" s="13">
        <f>'Financial Data - Old Segment'!P57/'Financial Data - Old Seg -USD'!P$10</f>
        <v>114.31655600000001</v>
      </c>
      <c r="Q56" s="13">
        <f>'Financial Data - Old Segment'!Q57/'Financial Data - Old Seg -USD'!Q$10</f>
        <v>22.906289999999998</v>
      </c>
      <c r="R56" s="13">
        <f>'Financial Data - Old Segment'!R57/'Financial Data - Old Seg -USD'!R$10</f>
        <v>50.738779000000001</v>
      </c>
      <c r="S56" s="13">
        <f>'Financial Data - Old Segment'!S57/'Financial Data - Old Seg -USD'!S$10</f>
        <v>59.636557000000003</v>
      </c>
      <c r="T56" s="13">
        <f>'Financial Data - Old Segment'!T57/'Financial Data - Old Seg -USD'!T$10</f>
        <v>76.442301000000015</v>
      </c>
      <c r="U56" s="13">
        <f>'Financial Data - Old Segment'!U57/'Financial Data - Old Seg -USD'!U$10</f>
        <v>35.387288999999996</v>
      </c>
      <c r="V56" s="13">
        <f>'Financial Data - Old Segment'!V57/'Financial Data - Old Seg -USD'!V$10</f>
        <v>40.908839626292213</v>
      </c>
      <c r="W56" s="13">
        <f>'Financial Data - Old Segment'!W57/'Financial Data - Old Seg -USD'!W$10</f>
        <v>48.316949999999999</v>
      </c>
      <c r="X56" s="13">
        <f>'Financial Data - Old Segment'!X57/'Financial Data - Old Seg -USD'!X$10</f>
        <v>61.472150999999997</v>
      </c>
      <c r="Y56" s="13">
        <f>'Financial Data - Old Segment'!Y57/'Financial Data - Old Seg -USD'!Y$10</f>
        <v>53.282759866341515</v>
      </c>
      <c r="Z56" s="13">
        <f>'Financial Data - Old Segment'!Z57/'Financial Data - Old Seg -USD'!Z$10</f>
        <v>67.964307180174814</v>
      </c>
      <c r="AA56" s="13">
        <f>'Financial Data - Old Segment'!AA57/'Financial Data - Old Seg -USD'!AA$10</f>
        <v>90.665186418725042</v>
      </c>
      <c r="AB56" s="13">
        <f>'Financial Data - Old Segment'!AB57/'Financial Data - Old Seg -USD'!AB$10</f>
        <v>113.42327921335468</v>
      </c>
      <c r="AC56" s="13">
        <f>'Financial Data - Old Segment'!AC57/'Financial Data - Old Seg -USD'!AC$10</f>
        <v>24.419030564486579</v>
      </c>
      <c r="AD56" s="13">
        <f>'Financial Data - Old Segment'!AD57/'Financial Data - Old Seg -USD'!AD$10</f>
        <v>33.976371</v>
      </c>
      <c r="AE56" s="13">
        <f>'Financial Data - Old Segment'!AE57/'Financial Data - Old Seg -USD'!AE$10</f>
        <v>45.553798659739485</v>
      </c>
      <c r="AF56" s="13">
        <f>'Financial Data - Old Segment'!AF57/'Financial Data - Old Seg -USD'!AF$10</f>
        <v>53.326468316722455</v>
      </c>
      <c r="AG56" s="13">
        <f>'Financial Data - Old Segment'!AG57/'Financial Data - Old Seg -USD'!AG$10</f>
        <v>41.143867523547165</v>
      </c>
      <c r="AH56" s="13">
        <f>'Financial Data - Old Segment'!AH57/'Financial Data - Old Seg -USD'!AH$10</f>
        <v>61.684019999999997</v>
      </c>
      <c r="AI56" s="13">
        <f>'Financial Data - Old Segment'!AI57/'Financial Data - Old Seg -USD'!AI$10</f>
        <v>76.768228189293296</v>
      </c>
      <c r="AJ56" s="13">
        <f>'Financial Data - Old Segment'!AJ57/'Financial Data - Old Seg -USD'!AJ$10</f>
        <v>96.086942115900612</v>
      </c>
      <c r="AK56" s="13">
        <f>'Financial Data - Old Segment'!AK57/'Financial Data - Old Seg -USD'!AK$10</f>
        <v>43.598353552859599</v>
      </c>
      <c r="AL56" s="13">
        <f>'Financial Data - Old Segment'!AL57/'Financial Data - Old Seg -USD'!AL$10</f>
        <v>67.66420948399157</v>
      </c>
      <c r="AM56" s="13">
        <f>'Financial Data - Old Segment'!AM57/'Financial Data - Old Seg -USD'!AM$10</f>
        <v>96.004007123775651</v>
      </c>
      <c r="AN56" s="13">
        <f>'Financial Data - Old Segment'!AN57/'Financial Data - Old Seg -USD'!AN$10</f>
        <v>128.41267663602704</v>
      </c>
      <c r="AO56" s="13">
        <f>'Financial Data - Old Segment'!AO57/'Financial Data - Old Seg -USD'!AO$10</f>
        <v>35.701160287709399</v>
      </c>
      <c r="AP56" s="13">
        <f>'Financial Data - Old Segment'!AP57/'Financial Data - Old Seg -USD'!AP$10</f>
        <v>64.786833088595131</v>
      </c>
      <c r="AQ56" s="13">
        <f>'Financial Data - Old Segment'!AQ57/'Financial Data - Old Seg -USD'!AQ$10</f>
        <v>93.093003042155587</v>
      </c>
      <c r="AR56" s="13">
        <f>'Financial Data - Old Segment'!AR57/'Financial Data - Old Seg -USD'!AR$10</f>
        <v>121.99850934763251</v>
      </c>
      <c r="AS56" s="13">
        <f>'Financial Data - Old Segment'!AS57/'Financial Data - Old Seg -USD'!AS$10</f>
        <v>30.166514385873345</v>
      </c>
      <c r="AT56" s="13">
        <f>'Financial Data - Old Segment'!AT57/'Financial Data - Old Seg -USD'!AT$10</f>
        <v>65.134437781376221</v>
      </c>
      <c r="AU56" s="13">
        <f>'Financial Data - Old Segment'!AU57/'Financial Data - Old Seg -USD'!AU$10</f>
        <v>81.448755724377676</v>
      </c>
      <c r="AV56" s="13">
        <f>'Financial Data - Old Segment'!AV57/'Financial Data - Old Seg -USD'!AV$10</f>
        <v>97.674566229369645</v>
      </c>
    </row>
    <row r="57" spans="2:48" ht="15" customHeight="1" x14ac:dyDescent="0.2">
      <c r="B57" s="58" t="s">
        <v>163</v>
      </c>
      <c r="C57" s="15">
        <f>'Financial Data - Old Segment'!C58/'Financial Data - Old Seg -USD'!C$10</f>
        <v>169.78139999999999</v>
      </c>
      <c r="D57" s="15">
        <f>'Financial Data - Old Segment'!D58/'Financial Data - Old Seg -USD'!D$10</f>
        <v>98.636799999999994</v>
      </c>
      <c r="E57" s="15">
        <f>'Financial Data - Old Segment'!E58/'Financial Data - Old Seg -USD'!E$10</f>
        <v>22.454181332685991</v>
      </c>
      <c r="F57" s="15">
        <f>'Financial Data - Old Segment'!F58/'Financial Data - Old Seg -USD'!F$10</f>
        <v>-5.6053580203072988</v>
      </c>
      <c r="G57" s="15">
        <f>'Financial Data - Old Segment'!G58/'Financial Data - Old Seg -USD'!G$10</f>
        <v>4.4656780000000005</v>
      </c>
      <c r="H57" s="15">
        <f>'Financial Data - Old Segment'!H58/'Financial Data - Old Seg -USD'!H$10</f>
        <v>9.7044149999999991</v>
      </c>
      <c r="I57" s="15">
        <f>'Financial Data - Old Segment'!I58/'Financial Data - Old Seg -USD'!I$10</f>
        <v>40.614409999999999</v>
      </c>
      <c r="J57" s="15">
        <f>'Financial Data - Old Segment'!J58/'Financial Data - Old Seg -USD'!J$10</f>
        <v>52.099235999999998</v>
      </c>
      <c r="K57" s="15">
        <f>'Financial Data - Old Segment'!K58/'Financial Data - Old Seg -USD'!K$10</f>
        <v>61.419153000000009</v>
      </c>
      <c r="L57" s="15">
        <f>'Financial Data - Old Segment'!L58/'Financial Data - Old Seg -USD'!L$10</f>
        <v>77.382555999999994</v>
      </c>
      <c r="M57" s="15">
        <f>'Financial Data - Old Segment'!M58/'Financial Data - Old Seg -USD'!M$10</f>
        <v>47.750175000000006</v>
      </c>
      <c r="N57" s="15">
        <f>'Financial Data - Old Segment'!N58/'Financial Data - Old Seg -USD'!N$10</f>
        <v>76.082054999999997</v>
      </c>
      <c r="O57" s="15">
        <f>'Financial Data - Old Segment'!O58/'Financial Data - Old Seg -USD'!O$10</f>
        <v>98.881440000000012</v>
      </c>
      <c r="P57" s="15">
        <f>'Financial Data - Old Segment'!P58/'Financial Data - Old Seg -USD'!P$10</f>
        <v>99.353656000000001</v>
      </c>
      <c r="Q57" s="15">
        <f>'Financial Data - Old Segment'!Q58/'Financial Data - Old Seg -USD'!Q$10</f>
        <v>20.112839999999998</v>
      </c>
      <c r="R57" s="15">
        <f>'Financial Data - Old Segment'!R58/'Financial Data - Old Seg -USD'!R$10</f>
        <v>44.047950999999998</v>
      </c>
      <c r="S57" s="15">
        <f>'Financial Data - Old Segment'!S58/'Financial Data - Old Seg -USD'!S$10</f>
        <v>49.046888000000003</v>
      </c>
      <c r="T57" s="15">
        <f>'Financial Data - Old Segment'!T58/'Financial Data - Old Seg -USD'!T$10</f>
        <v>61.377030000000005</v>
      </c>
      <c r="U57" s="15">
        <f>'Financial Data - Old Segment'!U58/'Financial Data - Old Seg -USD'!U$10</f>
        <v>31.455367999999996</v>
      </c>
      <c r="V57" s="15">
        <f>'Financial Data - Old Segment'!V58/'Financial Data - Old Seg -USD'!V$10</f>
        <v>33.169329426723415</v>
      </c>
      <c r="W57" s="15">
        <f>'Financial Data - Old Segment'!W58/'Financial Data - Old Seg -USD'!W$10</f>
        <v>35.969284999999999</v>
      </c>
      <c r="X57" s="15">
        <f>'Financial Data - Old Segment'!X58/'Financial Data - Old Seg -USD'!X$10</f>
        <v>45.710060999999996</v>
      </c>
      <c r="Y57" s="15">
        <f>'Financial Data - Old Segment'!Y58/'Financial Data - Old Seg -USD'!Y$10</f>
        <v>47.864174117222035</v>
      </c>
      <c r="Z57" s="15">
        <f>'Financial Data - Old Segment'!Z58/'Financial Data - Old Seg -USD'!Z$10</f>
        <v>60.104489343011743</v>
      </c>
      <c r="AA57" s="15">
        <f>'Financial Data - Old Segment'!AA58/'Financial Data - Old Seg -USD'!AA$10</f>
        <v>78.175594412063944</v>
      </c>
      <c r="AB57" s="15">
        <f>'Financial Data - Old Segment'!AB58/'Financial Data - Old Seg -USD'!AB$10</f>
        <v>94.214498056254286</v>
      </c>
      <c r="AC57" s="15">
        <f>'Financial Data - Old Segment'!AC58/'Financial Data - Old Seg -USD'!AC$10</f>
        <v>18.314272923364936</v>
      </c>
      <c r="AD57" s="15">
        <f>'Financial Data - Old Segment'!AD58/'Financial Data - Old Seg -USD'!AD$10</f>
        <v>22.650914</v>
      </c>
      <c r="AE57" s="15">
        <f>'Financial Data - Old Segment'!AE58/'Financial Data - Old Seg -USD'!AE$10</f>
        <v>27.106392590919363</v>
      </c>
      <c r="AF57" s="15">
        <f>'Financial Data - Old Segment'!AF58/'Financial Data - Old Seg -USD'!AF$10</f>
        <v>26.847118531867167</v>
      </c>
      <c r="AG57" s="15">
        <f>'Financial Data - Old Segment'!AG58/'Financial Data - Old Seg -USD'!AG$10</f>
        <v>33.323132374443155</v>
      </c>
      <c r="AH57" s="15">
        <f>'Financial Data - Old Segment'!AH58/'Financial Data - Old Seg -USD'!AH$10</f>
        <v>46.948393000000003</v>
      </c>
      <c r="AI57" s="15">
        <f>'Financial Data - Old Segment'!AI58/'Financial Data - Old Seg -USD'!AI$10</f>
        <v>54.931932171005428</v>
      </c>
      <c r="AJ57" s="15">
        <f>'Financial Data - Old Segment'!AJ58/'Financial Data - Old Seg -USD'!AJ$10</f>
        <v>68.254862330605263</v>
      </c>
      <c r="AK57" s="15">
        <f>'Financial Data - Old Segment'!AK58/'Financial Data - Old Seg -USD'!AK$10</f>
        <v>36.286828422876937</v>
      </c>
      <c r="AL57" s="15">
        <f>'Financial Data - Old Segment'!AL58/'Financial Data - Old Seg -USD'!AL$10</f>
        <v>53.086148091099076</v>
      </c>
      <c r="AM57" s="15">
        <f>'Financial Data - Old Segment'!AM58/'Financial Data - Old Seg -USD'!AM$10</f>
        <v>74.020480854853105</v>
      </c>
      <c r="AN57" s="15">
        <f>'Financial Data - Old Segment'!AN58/'Financial Data - Old Seg -USD'!AN$10</f>
        <v>95.486349293456016</v>
      </c>
      <c r="AO57" s="15">
        <f>'Financial Data - Old Segment'!AO58/'Financial Data - Old Seg -USD'!AO$10</f>
        <v>30.188481125636624</v>
      </c>
      <c r="AP57" s="15">
        <f>'Financial Data - Old Segment'!AP58/'Financial Data - Old Seg -USD'!AP$10</f>
        <v>51.884483602545217</v>
      </c>
      <c r="AQ57" s="15">
        <f>'Financial Data - Old Segment'!AQ58/'Financial Data - Old Seg -USD'!AQ$10</f>
        <v>76.488483268144293</v>
      </c>
      <c r="AR57" s="15">
        <f>'Financial Data - Old Segment'!AR58/'Financial Data - Old Seg -USD'!AR$10</f>
        <v>102.68938531293344</v>
      </c>
      <c r="AS57" s="15">
        <f>'Financial Data - Old Segment'!AS58/'Financial Data - Old Seg -USD'!AS$10</f>
        <v>29.088739301497355</v>
      </c>
      <c r="AT57" s="15">
        <f>'Financial Data - Old Segment'!AT58/'Financial Data - Old Seg -USD'!AT$10</f>
        <v>57.120486858729109</v>
      </c>
      <c r="AU57" s="15">
        <f>'Financial Data - Old Segment'!AU58/'Financial Data - Old Seg -USD'!AU$10</f>
        <v>72.065036032517853</v>
      </c>
      <c r="AV57" s="15">
        <f>'Financial Data - Old Segment'!AV58/'Financial Data - Old Seg -USD'!AV$10</f>
        <v>83.75652419241095</v>
      </c>
    </row>
    <row r="58" spans="2:48" ht="15" customHeight="1" x14ac:dyDescent="0.2">
      <c r="B58" s="58" t="s">
        <v>7</v>
      </c>
      <c r="C58" s="15">
        <f>'Financial Data - Old Segment'!C59/'Financial Data - Old Seg -USD'!C$10</f>
        <v>11.482800000000001</v>
      </c>
      <c r="D58" s="15">
        <f>'Financial Data - Old Segment'!D59/'Financial Data - Old Seg -USD'!D$10</f>
        <v>14.641399999999999</v>
      </c>
      <c r="E58" s="15">
        <f>'Financial Data - Old Segment'!E59/'Financial Data - Old Seg -USD'!E$10</f>
        <v>3.0343488287413503</v>
      </c>
      <c r="F58" s="15">
        <f>'Financial Data - Old Segment'!F59/'Financial Data - Old Seg -USD'!F$10</f>
        <v>7.4738106937430651</v>
      </c>
      <c r="G58" s="15">
        <f>'Financial Data - Old Segment'!G59/'Financial Data - Old Seg -USD'!G$10</f>
        <v>12.759080000000001</v>
      </c>
      <c r="H58" s="15">
        <f>'Financial Data - Old Segment'!H59/'Financial Data - Old Seg -USD'!H$10</f>
        <v>17.467946999999999</v>
      </c>
      <c r="I58" s="15">
        <f>'Financial Data - Old Segment'!I59/'Financial Data - Old Seg -USD'!I$10</f>
        <v>4.6606699999999996</v>
      </c>
      <c r="J58" s="15">
        <f>'Financial Data - Old Segment'!J59/'Financial Data - Old Seg -USD'!J$10</f>
        <v>10.551743999999999</v>
      </c>
      <c r="K58" s="15">
        <f>'Financial Data - Old Segment'!K59/'Financial Data - Old Seg -USD'!K$10</f>
        <v>15.850104000000002</v>
      </c>
      <c r="L58" s="15">
        <f>'Financial Data - Old Segment'!L59/'Financial Data - Old Seg -USD'!L$10</f>
        <v>20.679821</v>
      </c>
      <c r="M58" s="15">
        <f>'Financial Data - Old Segment'!M59/'Financial Data - Old Seg -USD'!M$10</f>
        <v>4.456683</v>
      </c>
      <c r="N58" s="15">
        <f>'Financial Data - Old Segment'!N59/'Financial Data - Old Seg -USD'!N$10</f>
        <v>8.9508299999999998</v>
      </c>
      <c r="O58" s="15">
        <f>'Financial Data - Old Segment'!O59/'Financial Data - Old Seg -USD'!O$10</f>
        <v>12.360180000000001</v>
      </c>
      <c r="P58" s="15">
        <f>'Financial Data - Old Segment'!P59/'Financial Data - Old Seg -USD'!P$10</f>
        <v>14.962900000000001</v>
      </c>
      <c r="Q58" s="15">
        <f>'Financial Data - Old Segment'!Q59/'Financial Data - Old Seg -USD'!Q$10</f>
        <v>2.79345</v>
      </c>
      <c r="R58" s="15">
        <f>'Financial Data - Old Segment'!R59/'Financial Data - Old Seg -USD'!R$10</f>
        <v>6.6908279999999998</v>
      </c>
      <c r="S58" s="15">
        <f>'Financial Data - Old Segment'!S59/'Financial Data - Old Seg -USD'!S$10</f>
        <v>10.589669000000001</v>
      </c>
      <c r="T58" s="15">
        <f>'Financial Data - Old Segment'!T59/'Financial Data - Old Seg -USD'!T$10</f>
        <v>15.065271000000003</v>
      </c>
      <c r="U58" s="15">
        <f>'Financial Data - Old Segment'!U59/'Financial Data - Old Seg -USD'!U$10</f>
        <v>3.9319209999999996</v>
      </c>
      <c r="V58" s="15">
        <f>'Financial Data - Old Segment'!V59/'Financial Data - Old Seg -USD'!V$10</f>
        <v>7.7395101995687972</v>
      </c>
      <c r="W58" s="15">
        <f>'Financial Data - Old Segment'!W59/'Financial Data - Old Seg -USD'!W$10</f>
        <v>12.347664999999999</v>
      </c>
      <c r="X58" s="15">
        <f>'Financial Data - Old Segment'!X59/'Financial Data - Old Seg -USD'!X$10</f>
        <v>15.762089999999999</v>
      </c>
      <c r="Y58" s="15">
        <f>'Financial Data - Old Segment'!Y59/'Financial Data - Old Seg -USD'!Y$10</f>
        <v>5.418585749119476</v>
      </c>
      <c r="Z58" s="15">
        <f>'Financial Data - Old Segment'!Z59/'Financial Data - Old Seg -USD'!Z$10</f>
        <v>7.8598178371630745</v>
      </c>
      <c r="AA58" s="15">
        <f>'Financial Data - Old Segment'!AA59/'Financial Data - Old Seg -USD'!AA$10</f>
        <v>12.489592006661104</v>
      </c>
      <c r="AB58" s="15">
        <f>'Financial Data - Old Segment'!AB59/'Financial Data - Old Seg -USD'!AB$10</f>
        <v>19.208781157100386</v>
      </c>
      <c r="AC58" s="15">
        <f>'Financial Data - Old Segment'!AC59/'Financial Data - Old Seg -USD'!AC$10</f>
        <v>6.1047576411216449</v>
      </c>
      <c r="AD58" s="15">
        <f>'Financial Data - Old Segment'!AD59/'Financial Data - Old Seg -USD'!AD$10</f>
        <v>11.325457</v>
      </c>
      <c r="AE58" s="15">
        <f>'Financial Data - Old Segment'!AE59/'Financial Data - Old Seg -USD'!AE$10</f>
        <v>18.447406068820122</v>
      </c>
      <c r="AF58" s="15">
        <f>'Financial Data - Old Segment'!AF59/'Financial Data - Old Seg -USD'!AF$10</f>
        <v>26.479349784855287</v>
      </c>
      <c r="AG58" s="15">
        <f>'Financial Data - Old Segment'!AG59/'Financial Data - Old Seg -USD'!AG$10</f>
        <v>7.8207351491040065</v>
      </c>
      <c r="AH58" s="15">
        <f>'Financial Data - Old Segment'!AH59/'Financial Data - Old Seg -USD'!AH$10</f>
        <v>14.735626999999999</v>
      </c>
      <c r="AI58" s="15">
        <f>'Financial Data - Old Segment'!AI59/'Financial Data - Old Seg -USD'!AI$10</f>
        <v>21.495103893002124</v>
      </c>
      <c r="AJ58" s="15">
        <f>'Financial Data - Old Segment'!AJ59/'Financial Data - Old Seg -USD'!AJ$10</f>
        <v>27.500745502137075</v>
      </c>
      <c r="AK58" s="15">
        <f>'Financial Data - Old Segment'!AK59/'Financial Data - Old Seg -USD'!AK$10</f>
        <v>7.040727902946271</v>
      </c>
      <c r="AL58" s="15">
        <f>'Financial Data - Old Segment'!AL59/'Financial Data - Old Seg -USD'!AL$10</f>
        <v>14.578061392892492</v>
      </c>
      <c r="AM58" s="15">
        <f>'Financial Data - Old Segment'!AM59/'Financial Data - Old Seg -USD'!AM$10</f>
        <v>23.931433659839726</v>
      </c>
      <c r="AN58" s="15">
        <f>'Financial Data - Old Segment'!AN59/'Financial Data - Old Seg -USD'!AN$10</f>
        <v>32.926327342571042</v>
      </c>
      <c r="AO58" s="15">
        <f>'Financial Data - Old Segment'!AO59/'Financial Data - Old Seg -USD'!AO$10</f>
        <v>5.5126791620727751</v>
      </c>
      <c r="AP58" s="15">
        <f>'Financial Data - Old Segment'!AP59/'Financial Data - Old Seg -USD'!AP$10</f>
        <v>11.013215859030824</v>
      </c>
      <c r="AQ58" s="15">
        <f>'Financial Data - Old Segment'!AQ59/'Financial Data - Old Seg -USD'!AQ$10</f>
        <v>14.558887440243375</v>
      </c>
      <c r="AR58" s="15">
        <f>'Financial Data - Old Segment'!AR59/'Financial Data - Old Seg -USD'!AR$10</f>
        <v>19.25425974617502</v>
      </c>
      <c r="AS58" s="15">
        <f>'Financial Data - Old Segment'!AS59/'Financial Data - Old Seg -USD'!AS$10</f>
        <v>2.0511290533107109</v>
      </c>
      <c r="AT58" s="15">
        <f>'Financial Data - Old Segment'!AT59/'Financial Data - Old Seg -USD'!AT$10</f>
        <v>6.9398722351726949</v>
      </c>
      <c r="AU58" s="15">
        <f>'Financial Data - Old Segment'!AU59/'Financial Data - Old Seg -USD'!AU$10</f>
        <v>9.5850047925023745</v>
      </c>
      <c r="AV58" s="15">
        <f>'Financial Data - Old Segment'!AV59/'Financial Data - Old Seg -USD'!AV$10</f>
        <v>15.86965721540418</v>
      </c>
    </row>
    <row r="59" spans="2:48" ht="15" customHeight="1" x14ac:dyDescent="0.2">
      <c r="B59" s="58" t="s">
        <v>185</v>
      </c>
      <c r="C59" s="15">
        <f>'Financial Data - Old Segment'!C60/'Financial Data - Old Seg -USD'!C$10</f>
        <v>0</v>
      </c>
      <c r="D59" s="15">
        <f>'Financial Data - Old Segment'!D60/'Financial Data - Old Seg -USD'!D$10</f>
        <v>0</v>
      </c>
      <c r="E59" s="15">
        <f>'Financial Data - Old Segment'!E60/'Financial Data - Old Seg -USD'!E$10</f>
        <v>0</v>
      </c>
      <c r="F59" s="15">
        <f>'Financial Data - Old Segment'!F60/'Financial Data - Old Seg -USD'!F$10</f>
        <v>0</v>
      </c>
      <c r="G59" s="15">
        <f>'Financial Data - Old Segment'!G60/'Financial Data - Old Seg -USD'!G$10</f>
        <v>0</v>
      </c>
      <c r="H59" s="15">
        <f>'Financial Data - Old Segment'!H60/'Financial Data - Old Seg -USD'!H$10</f>
        <v>0</v>
      </c>
      <c r="I59" s="15">
        <f>'Financial Data - Old Segment'!I60/'Financial Data - Old Seg -USD'!I$10</f>
        <v>0</v>
      </c>
      <c r="J59" s="15">
        <f>'Financial Data - Old Segment'!J60/'Financial Data - Old Seg -USD'!J$10</f>
        <v>0</v>
      </c>
      <c r="K59" s="15">
        <f>'Financial Data - Old Segment'!K60/'Financial Data - Old Seg -USD'!K$10</f>
        <v>0</v>
      </c>
      <c r="L59" s="15">
        <f>'Financial Data - Old Segment'!L60/'Financial Data - Old Seg -USD'!L$10</f>
        <v>0</v>
      </c>
      <c r="M59" s="15">
        <f>'Financial Data - Old Segment'!M60/'Financial Data - Old Seg -USD'!M$10</f>
        <v>0</v>
      </c>
      <c r="N59" s="15">
        <f>'Financial Data - Old Segment'!N60/'Financial Data - Old Seg -USD'!N$10</f>
        <v>0</v>
      </c>
      <c r="O59" s="15">
        <f>'Financial Data - Old Segment'!O60/'Financial Data - Old Seg -USD'!O$10</f>
        <v>0</v>
      </c>
      <c r="P59" s="15">
        <f>'Financial Data - Old Segment'!P60/'Financial Data - Old Seg -USD'!P$10</f>
        <v>0</v>
      </c>
      <c r="Q59" s="15">
        <f>'Financial Data - Old Segment'!Q60/'Financial Data - Old Seg -USD'!Q$10</f>
        <v>0</v>
      </c>
      <c r="R59" s="15">
        <f>'Financial Data - Old Segment'!R60/'Financial Data - Old Seg -USD'!R$10</f>
        <v>0</v>
      </c>
      <c r="S59" s="15">
        <f>'Financial Data - Old Segment'!S60/'Financial Data - Old Seg -USD'!S$10</f>
        <v>0</v>
      </c>
      <c r="T59" s="15">
        <f>'Financial Data - Old Segment'!T60/'Financial Data - Old Seg -USD'!T$10</f>
        <v>0</v>
      </c>
      <c r="U59" s="15">
        <f>'Financial Data - Old Segment'!U60/'Financial Data - Old Seg -USD'!U$10</f>
        <v>0</v>
      </c>
      <c r="V59" s="15">
        <f>'Financial Data - Old Segment'!V60/'Financial Data - Old Seg -USD'!V$10</f>
        <v>0</v>
      </c>
      <c r="W59" s="15">
        <f>'Financial Data - Old Segment'!W60/'Financial Data - Old Seg -USD'!W$10</f>
        <v>0</v>
      </c>
      <c r="X59" s="15">
        <f>'Financial Data - Old Segment'!X60/'Financial Data - Old Seg -USD'!X$10</f>
        <v>0</v>
      </c>
      <c r="Y59" s="15">
        <f>'Financial Data - Old Segment'!Y60/'Financial Data - Old Seg -USD'!Y$10</f>
        <v>0</v>
      </c>
      <c r="Z59" s="15">
        <f>'Financial Data - Old Segment'!Z60/'Financial Data - Old Seg -USD'!Z$10</f>
        <v>0</v>
      </c>
      <c r="AA59" s="15">
        <f>'Financial Data - Old Segment'!AA60/'Financial Data - Old Seg -USD'!AA$10</f>
        <v>0</v>
      </c>
      <c r="AB59" s="15">
        <f>'Financial Data - Old Segment'!AB60/'Financial Data - Old Seg -USD'!AB$10</f>
        <v>0</v>
      </c>
      <c r="AC59" s="15">
        <f>'Financial Data - Old Segment'!AC60/'Financial Data - Old Seg -USD'!AC$10</f>
        <v>0</v>
      </c>
      <c r="AD59" s="15">
        <f>'Financial Data - Old Segment'!AD60/'Financial Data - Old Seg -USD'!AD$10</f>
        <v>0</v>
      </c>
      <c r="AE59" s="15">
        <f>'Financial Data - Old Segment'!AE60/'Financial Data - Old Seg -USD'!AE$10</f>
        <v>0</v>
      </c>
      <c r="AF59" s="15">
        <f>'Financial Data - Old Segment'!AF60/'Financial Data - Old Seg -USD'!AF$10</f>
        <v>0</v>
      </c>
      <c r="AG59" s="15">
        <f>'Financial Data - Old Segment'!AG60/'Financial Data - Old Seg -USD'!AG$10</f>
        <v>0</v>
      </c>
      <c r="AH59" s="15">
        <f>'Financial Data - Old Segment'!AH60/'Financial Data - Old Seg -USD'!AH$10</f>
        <v>0</v>
      </c>
      <c r="AI59" s="15">
        <f>'Financial Data - Old Segment'!AI60/'Financial Data - Old Seg -USD'!AI$10</f>
        <v>0</v>
      </c>
      <c r="AJ59" s="15">
        <f>'Financial Data - Old Segment'!AJ60/'Financial Data - Old Seg -USD'!AJ$10</f>
        <v>0</v>
      </c>
      <c r="AK59" s="15">
        <f>'Financial Data - Old Segment'!AK60/'Financial Data - Old Seg -USD'!AK$10</f>
        <v>0</v>
      </c>
      <c r="AL59" s="15">
        <f>'Financial Data - Old Segment'!AL60/'Financial Data - Old Seg -USD'!AL$10</f>
        <v>-2.4755198591704231</v>
      </c>
      <c r="AM59" s="15">
        <f>'Financial Data - Old Segment'!AM60/'Financial Data - Old Seg -USD'!AM$10</f>
        <v>-2.2261798753339281</v>
      </c>
      <c r="AN59" s="15">
        <f>'Financial Data - Old Segment'!AN60/'Financial Data - Old Seg -USD'!AN$10</f>
        <v>-2.4694745506928277</v>
      </c>
      <c r="AO59" s="15">
        <f>'Financial Data - Old Segment'!AO60/'Financial Data - Old Seg -USD'!AO$10</f>
        <v>-0.26250853152727499</v>
      </c>
      <c r="AP59" s="15">
        <f>'Financial Data - Old Segment'!AP60/'Financial Data - Old Seg -USD'!AP$10</f>
        <v>2.692119432207535</v>
      </c>
      <c r="AQ59" s="15">
        <f>'Financial Data - Old Segment'!AQ60/'Financial Data - Old Seg -USD'!AQ$10</f>
        <v>2.17296827466319</v>
      </c>
      <c r="AR59" s="15">
        <f>'Financial Data - Old Segment'!AR60/'Financial Data - Old Seg -USD'!AR$10</f>
        <v>0</v>
      </c>
      <c r="AS59" s="15">
        <f>'Financial Data - Old Segment'!AS60/'Financial Data - Old Seg -USD'!AS$10</f>
        <v>-0.93233138786850489</v>
      </c>
      <c r="AT59" s="15">
        <f>'Financial Data - Old Segment'!AT60/'Financial Data - Old Seg -USD'!AT$10</f>
        <v>1.0676726515650301</v>
      </c>
      <c r="AU59" s="15">
        <f>'Financial Data - Old Segment'!AU60/'Financial Data - Old Seg -USD'!AU$10</f>
        <v>-0.177500088750044</v>
      </c>
      <c r="AV59" s="15">
        <f>'Financial Data - Old Segment'!AV60/'Financial Data - Old Seg -USD'!AV$10</f>
        <v>-1.9396247707716221</v>
      </c>
    </row>
    <row r="60" spans="2:48" ht="15" customHeight="1" x14ac:dyDescent="0.2">
      <c r="B60" s="26" t="s">
        <v>149</v>
      </c>
      <c r="C60" s="13">
        <f>'Financial Data - Old Segment'!C61/'Financial Data - Old Seg -USD'!C$10</f>
        <v>-6.5616000000000003</v>
      </c>
      <c r="D60" s="13">
        <f>'Financial Data - Old Segment'!D61/'Financial Data - Old Seg -USD'!D$10</f>
        <v>-6.1647999999999996</v>
      </c>
      <c r="E60" s="13">
        <f>'Financial Data - Old Segment'!E61/'Financial Data - Old Seg -USD'!E$10</f>
        <v>0</v>
      </c>
      <c r="F60" s="13">
        <f>'Financial Data - Old Segment'!F61/'Financial Data - Old Seg -USD'!F$10</f>
        <v>4.9825404624953764</v>
      </c>
      <c r="G60" s="13">
        <f>'Financial Data - Old Segment'!G61/'Financial Data - Old Seg -USD'!G$10</f>
        <v>5.7415860000000007</v>
      </c>
      <c r="H60" s="13">
        <f>'Financial Data - Old Segment'!H61/'Financial Data - Old Seg -USD'!H$10</f>
        <v>6.4696100000000003</v>
      </c>
      <c r="I60" s="13">
        <f>'Financial Data - Old Segment'!I61/'Financial Data - Old Seg -USD'!I$10</f>
        <v>0.66581000000000001</v>
      </c>
      <c r="J60" s="13">
        <f>'Financial Data - Old Segment'!J61/'Financial Data - Old Seg -USD'!J$10</f>
        <v>1.3189679999999999</v>
      </c>
      <c r="K60" s="13">
        <f>'Financial Data - Old Segment'!K61/'Financial Data - Old Seg -USD'!K$10</f>
        <v>1.3208420000000001</v>
      </c>
      <c r="L60" s="13">
        <f>'Financial Data - Old Segment'!L61/'Financial Data - Old Seg -USD'!L$10</f>
        <v>1.334182</v>
      </c>
      <c r="M60" s="13">
        <f>'Financial Data - Old Segment'!M61/'Financial Data - Old Seg -USD'!M$10</f>
        <v>0.63666900000000004</v>
      </c>
      <c r="N60" s="13">
        <f>'Financial Data - Old Segment'!N61/'Financial Data - Old Seg -USD'!N$10</f>
        <v>0</v>
      </c>
      <c r="O60" s="13">
        <f>'Financial Data - Old Segment'!O61/'Financial Data - Old Seg -USD'!O$10</f>
        <v>0.61800900000000003</v>
      </c>
      <c r="P60" s="13">
        <f>'Financial Data - Old Segment'!P61/'Financial Data - Old Seg -USD'!P$10</f>
        <v>1.1970320000000001</v>
      </c>
      <c r="Q60" s="13">
        <f>'Financial Data - Old Segment'!Q61/'Financial Data - Old Seg -USD'!Q$10</f>
        <v>0</v>
      </c>
      <c r="R60" s="13">
        <f>'Financial Data - Old Segment'!R61/'Financial Data - Old Seg -USD'!R$10</f>
        <v>-0.55756899999999998</v>
      </c>
      <c r="S60" s="13">
        <f>'Financial Data - Old Segment'!S61/'Financial Data - Old Seg -USD'!S$10</f>
        <v>0.55735100000000004</v>
      </c>
      <c r="T60" s="13">
        <f>'Financial Data - Old Segment'!T61/'Financial Data - Old Seg -USD'!T$10</f>
        <v>0</v>
      </c>
      <c r="U60" s="13">
        <f>'Financial Data - Old Segment'!U61/'Financial Data - Old Seg -USD'!U$10</f>
        <v>0</v>
      </c>
      <c r="V60" s="13">
        <f>'Financial Data - Old Segment'!V61/'Financial Data - Old Seg -USD'!V$10</f>
        <v>0</v>
      </c>
      <c r="W60" s="13">
        <f>'Financial Data - Old Segment'!W61/'Financial Data - Old Seg -USD'!W$10</f>
        <v>0</v>
      </c>
      <c r="X60" s="13">
        <f>'Financial Data - Old Segment'!X61/'Financial Data - Old Seg -USD'!X$10</f>
        <v>0</v>
      </c>
      <c r="Y60" s="13">
        <f>'Financial Data - Old Segment'!Y61/'Financial Data - Old Seg -USD'!Y$10</f>
        <v>0</v>
      </c>
      <c r="Z60" s="13">
        <f>'Financial Data - Old Segment'!Z61/'Financial Data - Old Seg -USD'!Z$10</f>
        <v>-0.46234222571547495</v>
      </c>
      <c r="AA60" s="13">
        <f>'Financial Data - Old Segment'!AA61/'Financial Data - Old Seg -USD'!AA$10</f>
        <v>-1.387732445184567</v>
      </c>
      <c r="AB60" s="13">
        <f>'Financial Data - Old Segment'!AB61/'Financial Data - Old Seg -USD'!AB$10</f>
        <v>-3.2014635261833981</v>
      </c>
      <c r="AC60" s="13">
        <f>'Financial Data - Old Segment'!AC61/'Financial Data - Old Seg -USD'!AC$10</f>
        <v>-0.406983842741443</v>
      </c>
      <c r="AD60" s="13">
        <f>'Financial Data - Old Segment'!AD61/'Financial Data - Old Seg -USD'!AD$10</f>
        <v>-1.1715990000000001</v>
      </c>
      <c r="AE60" s="13">
        <f>'Financial Data - Old Segment'!AE61/'Financial Data - Old Seg -USD'!AE$10</f>
        <v>-1.50591069949552</v>
      </c>
      <c r="AF60" s="13">
        <f>'Financial Data - Old Segment'!AF61/'Financial Data - Old Seg -USD'!AF$10</f>
        <v>-2.2066124820712738</v>
      </c>
      <c r="AG60" s="13">
        <f>'Financial Data - Old Segment'!AG61/'Financial Data - Old Seg -USD'!AG$10</f>
        <v>-0.68006392600904397</v>
      </c>
      <c r="AH60" s="13">
        <f>'Financial Data - Old Segment'!AH61/'Financial Data - Old Seg -USD'!AH$10</f>
        <v>-2.0561340000000001</v>
      </c>
      <c r="AI60" s="13">
        <f>'Financial Data - Old Segment'!AI61/'Financial Data - Old Seg -USD'!AI$10</f>
        <v>-2.7295370022859839</v>
      </c>
      <c r="AJ60" s="13">
        <f>'Financial Data - Old Segment'!AJ61/'Financial Data - Old Seg -USD'!AJ$10</f>
        <v>-3.6446771147410582</v>
      </c>
      <c r="AK60" s="13">
        <f>'Financial Data - Old Segment'!AK61/'Financial Data - Old Seg -USD'!AK$10</f>
        <v>0.27079722703639503</v>
      </c>
      <c r="AL60" s="13">
        <f>'Financial Data - Old Segment'!AL61/'Financial Data - Old Seg -USD'!AL$10</f>
        <v>3.8508086698206583</v>
      </c>
      <c r="AM60" s="13">
        <f>'Financial Data - Old Segment'!AM61/'Financial Data - Old Seg -USD'!AM$10</f>
        <v>1.9479073909171871</v>
      </c>
      <c r="AN60" s="13">
        <f>'Financial Data - Old Segment'!AN61/'Financial Data - Old Seg -USD'!AN$10</f>
        <v>1.097544244752368</v>
      </c>
      <c r="AO60" s="13">
        <f>'Financial Data - Old Segment'!AO61/'Financial Data - Old Seg -USD'!AO$10</f>
        <v>0.15750511891636498</v>
      </c>
      <c r="AP60" s="13">
        <f>'Financial Data - Old Segment'!AP61/'Financial Data - Old Seg -USD'!AP$10</f>
        <v>-0.48947626040136999</v>
      </c>
      <c r="AQ60" s="13">
        <f>'Financial Data - Old Segment'!AQ61/'Financial Data - Old Seg -USD'!AQ$10</f>
        <v>0.33746197305519343</v>
      </c>
      <c r="AR60" s="13">
        <f>'Financial Data - Old Segment'!AR61/'Financial Data - Old Seg -USD'!AR$10</f>
        <v>-0.62110515310241998</v>
      </c>
      <c r="AS60" s="13">
        <f>'Financial Data - Old Segment'!AS61/'Financial Data - Old Seg -USD'!AS$10</f>
        <v>0.83891178280408074</v>
      </c>
      <c r="AT60" s="13">
        <f>'Financial Data - Old Segment'!AT61/'Financial Data - Old Seg -USD'!AT$10</f>
        <v>0.74310016548926094</v>
      </c>
      <c r="AU60" s="13">
        <f>'Financial Data - Old Segment'!AU61/'Financial Data - Old Seg -USD'!AU$10</f>
        <v>1.7982533991266956</v>
      </c>
      <c r="AV60" s="93"/>
    </row>
    <row r="61" spans="2:48" ht="15" customHeight="1" x14ac:dyDescent="0.2">
      <c r="B61" s="26" t="s">
        <v>148</v>
      </c>
      <c r="C61" s="13">
        <f>'Financial Data - Old Segment'!C62/'Financial Data - Old Seg -USD'!C$10</f>
        <v>-2.4605999999999999</v>
      </c>
      <c r="D61" s="13">
        <f>'Financial Data - Old Segment'!D62/'Financial Data - Old Seg -USD'!D$10</f>
        <v>-4.6235999999999997</v>
      </c>
      <c r="E61" s="13">
        <f>'Financial Data - Old Segment'!E62/'Financial Data - Old Seg -USD'!E$10</f>
        <v>0</v>
      </c>
      <c r="F61" s="13">
        <f>'Financial Data - Old Segment'!F62/'Financial Data - Old Seg -USD'!F$10</f>
        <v>1.2456351156238441</v>
      </c>
      <c r="G61" s="13">
        <f>'Financial Data - Old Segment'!G62/'Financial Data - Old Seg -USD'!G$10</f>
        <v>1.275908</v>
      </c>
      <c r="H61" s="13">
        <f>'Financial Data - Old Segment'!H62/'Financial Data - Old Seg -USD'!H$10</f>
        <v>0.64696100000000001</v>
      </c>
      <c r="I61" s="13">
        <f>'Financial Data - Old Segment'!I62/'Financial Data - Old Seg -USD'!I$10</f>
        <v>0.66581000000000001</v>
      </c>
      <c r="J61" s="13">
        <f>'Financial Data - Old Segment'!J62/'Financial Data - Old Seg -USD'!J$10</f>
        <v>1.9784519999999999</v>
      </c>
      <c r="K61" s="13">
        <f>'Financial Data - Old Segment'!K62/'Financial Data - Old Seg -USD'!K$10</f>
        <v>1.9812630000000002</v>
      </c>
      <c r="L61" s="13">
        <f>'Financial Data - Old Segment'!L62/'Financial Data - Old Seg -USD'!L$10</f>
        <v>2.0012729999999999</v>
      </c>
      <c r="M61" s="13">
        <f>'Financial Data - Old Segment'!M62/'Financial Data - Old Seg -USD'!M$10</f>
        <v>-0.63666900000000004</v>
      </c>
      <c r="N61" s="13">
        <f>'Financial Data - Old Segment'!N62/'Financial Data - Old Seg -USD'!N$10</f>
        <v>-1.9180350000000002</v>
      </c>
      <c r="O61" s="13">
        <f>'Financial Data - Old Segment'!O62/'Financial Data - Old Seg -USD'!O$10</f>
        <v>-1.8540270000000001</v>
      </c>
      <c r="P61" s="13">
        <f>'Financial Data - Old Segment'!P62/'Financial Data - Old Seg -USD'!P$10</f>
        <v>-2.3940640000000002</v>
      </c>
      <c r="Q61" s="13">
        <f>'Financial Data - Old Segment'!Q62/'Financial Data - Old Seg -USD'!Q$10</f>
        <v>0</v>
      </c>
      <c r="R61" s="13">
        <f>'Financial Data - Old Segment'!R62/'Financial Data - Old Seg -USD'!R$10</f>
        <v>2.7878449999999999</v>
      </c>
      <c r="S61" s="13">
        <f>'Financial Data - Old Segment'!S62/'Financial Data - Old Seg -USD'!S$10</f>
        <v>3.9014570000000002</v>
      </c>
      <c r="T61" s="13">
        <f>'Financial Data - Old Segment'!T62/'Financial Data - Old Seg -USD'!T$10</f>
        <v>1.1159460000000001</v>
      </c>
      <c r="U61" s="13">
        <f>'Financial Data - Old Segment'!U62/'Financial Data - Old Seg -USD'!U$10</f>
        <v>0</v>
      </c>
      <c r="V61" s="13">
        <f>'Financial Data - Old Segment'!V62/'Financial Data - Old Seg -USD'!V$10</f>
        <v>-1.1056443142241139</v>
      </c>
      <c r="W61" s="13">
        <f>'Financial Data - Old Segment'!W62/'Financial Data - Old Seg -USD'!W$10</f>
        <v>-2.684275</v>
      </c>
      <c r="X61" s="13">
        <f>'Financial Data - Old Segment'!X62/'Financial Data - Old Seg -USD'!X$10</f>
        <v>-4.2032239999999996</v>
      </c>
      <c r="Y61" s="13">
        <f>'Financial Data - Old Segment'!Y62/'Financial Data - Old Seg -USD'!Y$10</f>
        <v>-0.45154881242662298</v>
      </c>
      <c r="Z61" s="13">
        <f>'Financial Data - Old Segment'!Z62/'Financial Data - Old Seg -USD'!Z$10</f>
        <v>-1.3870266771464248</v>
      </c>
      <c r="AA61" s="13">
        <f>'Financial Data - Old Segment'!AA62/'Financial Data - Old Seg -USD'!AA$10</f>
        <v>-2.312887408640945</v>
      </c>
      <c r="AB61" s="13">
        <f>'Financial Data - Old Segment'!AB62/'Financial Data - Old Seg -USD'!AB$10</f>
        <v>-6.8602789846787102</v>
      </c>
      <c r="AC61" s="13">
        <f>'Financial Data - Old Segment'!AC62/'Financial Data - Old Seg -USD'!AC$10</f>
        <v>-1.627935370965772</v>
      </c>
      <c r="AD61" s="13">
        <f>'Financial Data - Old Segment'!AD62/'Financial Data - Old Seg -USD'!AD$10</f>
        <v>-2.3431980000000001</v>
      </c>
      <c r="AE61" s="13">
        <f>'Financial Data - Old Segment'!AE62/'Financial Data - Old Seg -USD'!AE$10</f>
        <v>-2.2588660492432799</v>
      </c>
      <c r="AF61" s="13">
        <f>'Financial Data - Old Segment'!AF62/'Financial Data - Old Seg -USD'!AF$10</f>
        <v>-3.3099187231069109</v>
      </c>
      <c r="AG61" s="13">
        <f>'Financial Data - Old Segment'!AG62/'Financial Data - Old Seg -USD'!AG$10</f>
        <v>-0.68006392600904397</v>
      </c>
      <c r="AH61" s="13">
        <f>'Financial Data - Old Segment'!AH62/'Financial Data - Old Seg -USD'!AH$10</f>
        <v>-2.0561340000000001</v>
      </c>
      <c r="AI61" s="13">
        <f>'Financial Data - Old Segment'!AI62/'Financial Data - Old Seg -USD'!AI$10</f>
        <v>-2.388344877000236</v>
      </c>
      <c r="AJ61" s="13">
        <f>'Financial Data - Old Segment'!AJ62/'Financial Data - Old Seg -USD'!AJ$10</f>
        <v>-3.9760113978993359</v>
      </c>
      <c r="AK61" s="13">
        <f>'Financial Data - Old Segment'!AK62/'Financial Data - Old Seg -USD'!AK$10</f>
        <v>-0.81239168110918514</v>
      </c>
      <c r="AL61" s="13">
        <f>'Financial Data - Old Segment'!AL62/'Financial Data - Old Seg -USD'!AL$10</f>
        <v>-1.9254043349103291</v>
      </c>
      <c r="AM61" s="13">
        <f>'Financial Data - Old Segment'!AM62/'Financial Data - Old Seg -USD'!AM$10</f>
        <v>-2.7827248441674102</v>
      </c>
      <c r="AN61" s="13">
        <f>'Financial Data - Old Segment'!AN62/'Financial Data - Old Seg -USD'!AN$10</f>
        <v>-4.390176979009472</v>
      </c>
      <c r="AO61" s="13">
        <f>'Financial Data - Old Segment'!AO62/'Financial Data - Old Seg -USD'!AO$10</f>
        <v>-0.84002730088728006</v>
      </c>
      <c r="AP61" s="13">
        <f>'Financial Data - Old Segment'!AP62/'Financial Data - Old Seg -USD'!AP$10</f>
        <v>-2.9368575624082198</v>
      </c>
      <c r="AQ61" s="13">
        <f>'Financial Data - Old Segment'!AQ62/'Financial Data - Old Seg -USD'!AQ$10</f>
        <v>-4.0832246849196006</v>
      </c>
      <c r="AR61" s="13">
        <f>'Financial Data - Old Segment'!AR62/'Financial Data - Old Seg -USD'!AR$10</f>
        <v>-9.1095422455021602</v>
      </c>
      <c r="AS61" s="13">
        <f>'Financial Data - Old Segment'!AS62/'Financial Data - Old Seg -USD'!AS$10</f>
        <v>-4.9562736579089721</v>
      </c>
      <c r="AT61" s="13">
        <f>'Financial Data - Old Segment'!AT62/'Financial Data - Old Seg -USD'!AT$10</f>
        <v>-8.7840987953093563</v>
      </c>
      <c r="AU61" s="13">
        <f>'Financial Data - Old Segment'!AU62/'Financial Data - Old Seg -USD'!AU$10</f>
        <v>-11.50520075260035</v>
      </c>
      <c r="AV61" s="13">
        <f>'Financial Data - Old Segment'!AV62/'Financial Data - Old Seg -USD'!AV$10</f>
        <v>-14.261179291860659</v>
      </c>
    </row>
    <row r="62" spans="2:48" ht="15" customHeight="1" x14ac:dyDescent="0.2">
      <c r="B62" s="49" t="s">
        <v>134</v>
      </c>
      <c r="C62" s="50">
        <f>'Financial Data - Old Segment'!C63/'Financial Data - Old Seg -USD'!C$10</f>
        <v>255.0822</v>
      </c>
      <c r="D62" s="50">
        <f>'Financial Data - Old Segment'!D63/'Financial Data - Old Seg -USD'!D$10</f>
        <v>190.33819999999997</v>
      </c>
      <c r="E62" s="50">
        <f>'Financial Data - Old Segment'!E63/'Financial Data - Old Seg -USD'!E$10</f>
        <v>56.438888214589113</v>
      </c>
      <c r="F62" s="50">
        <f>'Financial Data - Old Segment'!F63/'Financial Data - Old Seg -USD'!F$10</f>
        <v>56.05358020307299</v>
      </c>
      <c r="G62" s="50">
        <f>'Financial Data - Old Segment'!G63/'Financial Data - Old Seg -USD'!G$10</f>
        <v>96.969008000000002</v>
      </c>
      <c r="H62" s="50">
        <f>'Financial Data - Old Segment'!H63/'Financial Data - Old Seg -USD'!H$10</f>
        <v>130.68612200000001</v>
      </c>
      <c r="I62" s="50">
        <f>'Financial Data - Old Segment'!I63/'Financial Data - Old Seg -USD'!I$10</f>
        <v>71.907479999999993</v>
      </c>
      <c r="J62" s="50">
        <f>'Financial Data - Old Segment'!J63/'Financial Data - Old Seg -USD'!J$10</f>
        <v>116.06918399999999</v>
      </c>
      <c r="K62" s="50">
        <f>'Financial Data - Old Segment'!K63/'Financial Data - Old Seg -USD'!K$10</f>
        <v>147.27388300000001</v>
      </c>
      <c r="L62" s="50">
        <f>'Financial Data - Old Segment'!L63/'Financial Data - Old Seg -USD'!L$10</f>
        <v>199.46020899999999</v>
      </c>
      <c r="M62" s="50">
        <f>'Financial Data - Old Segment'!M63/'Financial Data - Old Seg -USD'!M$10</f>
        <v>59.846886000000005</v>
      </c>
      <c r="N62" s="50">
        <f>'Financial Data - Old Segment'!N63/'Financial Data - Old Seg -USD'!N$10</f>
        <v>120.83620500000001</v>
      </c>
      <c r="O62" s="50">
        <f>'Financial Data - Old Segment'!O63/'Financial Data - Old Seg -USD'!O$10</f>
        <v>174.27853800000003</v>
      </c>
      <c r="P62" s="50">
        <f>'Financial Data - Old Segment'!P63/'Financial Data - Old Seg -USD'!P$10</f>
        <v>216.66279200000002</v>
      </c>
      <c r="Q62" s="50">
        <f>'Financial Data - Old Segment'!Q63/'Financial Data - Old Seg -USD'!Q$10</f>
        <v>54.192929999999997</v>
      </c>
      <c r="R62" s="50">
        <f>'Financial Data - Old Segment'!R63/'Financial Data - Old Seg -USD'!R$10</f>
        <v>108.168386</v>
      </c>
      <c r="S62" s="50">
        <f>'Financial Data - Old Segment'!S63/'Financial Data - Old Seg -USD'!S$10</f>
        <v>146.02596199999999</v>
      </c>
      <c r="T62" s="50">
        <f>'Financial Data - Old Segment'!T63/'Financial Data - Old Seg -USD'!T$10</f>
        <v>156.79041300000003</v>
      </c>
      <c r="U62" s="50">
        <f>'Financial Data - Old Segment'!U63/'Financial Data - Old Seg -USD'!U$10</f>
        <v>67.966062999999991</v>
      </c>
      <c r="V62" s="50">
        <f>'Financial Data - Old Segment'!V63/'Financial Data - Old Seg -USD'!V$10</f>
        <v>11.056443142241138</v>
      </c>
      <c r="W62" s="50">
        <f>'Financial Data - Old Segment'!W63/'Financial Data - Old Seg -USD'!W$10</f>
        <v>31.674444999999999</v>
      </c>
      <c r="X62" s="50">
        <f>'Financial Data - Old Segment'!X63/'Financial Data - Old Seg -USD'!X$10</f>
        <v>5.2540300000000002</v>
      </c>
      <c r="Y62" s="50">
        <f>'Financial Data - Old Segment'!Y63/'Financial Data - Old Seg -USD'!Y$10</f>
        <v>76.311749300099279</v>
      </c>
      <c r="Z62" s="50">
        <f>'Financial Data - Old Segment'!Z63/'Financial Data - Old Seg -USD'!Z$10</f>
        <v>116.04789865458422</v>
      </c>
      <c r="AA62" s="50">
        <f>'Financial Data - Old Segment'!AA63/'Financial Data - Old Seg -USD'!AA$10</f>
        <v>154.96345637894331</v>
      </c>
      <c r="AB62" s="50">
        <f>'Financial Data - Old Segment'!AB63/'Financial Data - Old Seg -USD'!AB$10</f>
        <v>85.982163274639831</v>
      </c>
      <c r="AC62" s="50">
        <f>'Financial Data - Old Segment'!AC63/'Financial Data - Old Seg -USD'!AC$10</f>
        <v>30.116804362866784</v>
      </c>
      <c r="AD62" s="50">
        <f>'Financial Data - Old Segment'!AD63/'Financial Data - Old Seg -USD'!AD$10</f>
        <v>61.313681000000003</v>
      </c>
      <c r="AE62" s="50">
        <f>'Financial Data - Old Segment'!AE63/'Financial Data - Old Seg -USD'!AE$10</f>
        <v>92.989985693848368</v>
      </c>
      <c r="AF62" s="50">
        <f>'Financial Data - Old Segment'!AF63/'Financial Data - Old Seg -USD'!AF$10</f>
        <v>108.12401162149241</v>
      </c>
      <c r="AG62" s="50">
        <f>'Financial Data - Old Segment'!AG63/'Financial Data - Old Seg -USD'!AG$10</f>
        <v>63.585977081845613</v>
      </c>
      <c r="AH62" s="50">
        <f>'Financial Data - Old Segment'!AH63/'Financial Data - Old Seg -USD'!AH$10</f>
        <v>102.464011</v>
      </c>
      <c r="AI62" s="50">
        <f>'Financial Data - Old Segment'!AI63/'Financial Data - Old Seg -USD'!AI$10</f>
        <v>119.07605172472606</v>
      </c>
      <c r="AJ62" s="50">
        <f>'Financial Data - Old Segment'!AJ63/'Financial Data - Old Seg -USD'!AJ$10</f>
        <v>175.27583579072905</v>
      </c>
      <c r="AK62" s="50">
        <f>'Financial Data - Old Segment'!AK63/'Financial Data - Old Seg -USD'!AK$10</f>
        <v>60.387781629116098</v>
      </c>
      <c r="AL62" s="50">
        <f>'Financial Data - Old Segment'!AL63/'Financial Data - Old Seg -USD'!AL$10</f>
        <v>133.40301463307281</v>
      </c>
      <c r="AM62" s="50">
        <f>'Financial Data - Old Segment'!AM63/'Financial Data - Old Seg -USD'!AM$10</f>
        <v>190.06010685663412</v>
      </c>
      <c r="AN62" s="50">
        <f>'Financial Data - Old Segment'!AN63/'Financial Data - Old Seg -USD'!AN$10</f>
        <v>275.75799149403247</v>
      </c>
      <c r="AO62" s="50">
        <f>'Financial Data - Old Segment'!AO63/'Financial Data - Old Seg -USD'!AO$10</f>
        <v>77.571271066309762</v>
      </c>
      <c r="AP62" s="50">
        <f>'Financial Data - Old Segment'!AP63/'Financial Data - Old Seg -USD'!AP$10</f>
        <v>145.12971120900619</v>
      </c>
      <c r="AQ62" s="50">
        <f>'Financial Data - Old Segment'!AQ63/'Financial Data - Old Seg -USD'!AQ$10</f>
        <v>213.38548457192528</v>
      </c>
      <c r="AR62" s="50">
        <f>'Financial Data - Old Segment'!AR63/'Financial Data - Old Seg -USD'!AR$10</f>
        <v>310.7985341918386</v>
      </c>
      <c r="AS62" s="50">
        <f>'Financial Data - Old Segment'!AS63/'Financial Data - Old Seg -USD'!AS$10</f>
        <v>175.76982602696319</v>
      </c>
      <c r="AT62" s="50">
        <f>'Financial Data - Old Segment'!AT63/'Financial Data - Old Seg -USD'!AT$10</f>
        <v>248.65348684093453</v>
      </c>
      <c r="AU62" s="50">
        <f>'Financial Data - Old Segment'!AU63/'Financial Data - Old Seg -USD'!AU$10</f>
        <v>319.3565621782804</v>
      </c>
      <c r="AV62" s="50">
        <f>'Financial Data - Old Segment'!AV63/'Financial Data - Old Seg -USD'!AV$10</f>
        <v>338.737480603753</v>
      </c>
    </row>
    <row r="63" spans="2:48" ht="15" customHeight="1" x14ac:dyDescent="0.2">
      <c r="B63" s="48" t="s">
        <v>11</v>
      </c>
      <c r="C63" s="13">
        <f>'Financial Data - Old Segment'!C64/'Financial Data - Old Seg -USD'!C$10</f>
        <v>13.9434</v>
      </c>
      <c r="D63" s="13">
        <f>'Financial Data - Old Segment'!D64/'Financial Data - Old Seg -USD'!D$10</f>
        <v>-2.3117999999999999</v>
      </c>
      <c r="E63" s="13">
        <f>'Financial Data - Old Segment'!E64/'Financial Data - Old Seg -USD'!E$10</f>
        <v>4.2480883602378903</v>
      </c>
      <c r="F63" s="13">
        <f>'Financial Data - Old Segment'!F64/'Financial Data - Old Seg -USD'!F$10</f>
        <v>4.3597229046834549</v>
      </c>
      <c r="G63" s="13">
        <f>'Financial Data - Old Segment'!G64/'Financial Data - Old Seg -USD'!G$10</f>
        <v>19.13862</v>
      </c>
      <c r="H63" s="13">
        <f>'Financial Data - Old Segment'!H64/'Financial Data - Old Seg -USD'!H$10</f>
        <v>16.174025</v>
      </c>
      <c r="I63" s="13">
        <f>'Financial Data - Old Segment'!I64/'Financial Data - Old Seg -USD'!I$10</f>
        <v>6.6581000000000001</v>
      </c>
      <c r="J63" s="13">
        <f>'Financial Data - Old Segment'!J64/'Financial Data - Old Seg -USD'!J$10</f>
        <v>10.551743999999999</v>
      </c>
      <c r="K63" s="13">
        <f>'Financial Data - Old Segment'!K64/'Financial Data - Old Seg -USD'!K$10</f>
        <v>21.133472000000001</v>
      </c>
      <c r="L63" s="13">
        <f>'Financial Data - Old Segment'!L64/'Financial Data - Old Seg -USD'!L$10</f>
        <v>26.016549000000001</v>
      </c>
      <c r="M63" s="13">
        <f>'Financial Data - Old Segment'!M64/'Financial Data - Old Seg -USD'!M$10</f>
        <v>1.2733380000000001</v>
      </c>
      <c r="N63" s="13">
        <f>'Financial Data - Old Segment'!N64/'Financial Data - Old Seg -USD'!N$10</f>
        <v>15.344280000000001</v>
      </c>
      <c r="O63" s="13">
        <f>'Financial Data - Old Segment'!O64/'Financial Data - Old Seg -USD'!O$10</f>
        <v>28.428414000000004</v>
      </c>
      <c r="P63" s="13">
        <f>'Financial Data - Old Segment'!P64/'Financial Data - Old Seg -USD'!P$10</f>
        <v>43.093152000000003</v>
      </c>
      <c r="Q63" s="13">
        <f>'Financial Data - Old Segment'!Q64/'Financial Data - Old Seg -USD'!Q$10</f>
        <v>20.671530000000001</v>
      </c>
      <c r="R63" s="13">
        <f>'Financial Data - Old Segment'!R64/'Financial Data - Old Seg -USD'!R$10</f>
        <v>25.648173999999997</v>
      </c>
      <c r="S63" s="13">
        <f>'Financial Data - Old Segment'!S64/'Financial Data - Old Seg -USD'!S$10</f>
        <v>41.243974000000001</v>
      </c>
      <c r="T63" s="13">
        <f>'Financial Data - Old Segment'!T64/'Financial Data - Old Seg -USD'!T$10</f>
        <v>13.391352000000001</v>
      </c>
      <c r="U63" s="13">
        <f>'Financial Data - Old Segment'!U64/'Financial Data - Old Seg -USD'!U$10</f>
        <v>17.974495999999998</v>
      </c>
      <c r="V63" s="13">
        <f>'Financial Data - Old Segment'!V64/'Financial Data - Old Seg -USD'!V$10</f>
        <v>-57.493504339653924</v>
      </c>
      <c r="W63" s="13">
        <f>'Financial Data - Old Segment'!W64/'Financial Data - Old Seg -USD'!W$10</f>
        <v>-61.738325000000003</v>
      </c>
      <c r="X63" s="13">
        <f>'Financial Data - Old Segment'!X64/'Financial Data - Old Seg -USD'!X$10</f>
        <v>-114.012451</v>
      </c>
      <c r="Y63" s="13">
        <f>'Financial Data - Old Segment'!Y64/'Financial Data - Old Seg -USD'!Y$10</f>
        <v>10.837171498238952</v>
      </c>
      <c r="Z63" s="13">
        <f>'Financial Data - Old Segment'!Z64/'Financial Data - Old Seg -USD'!Z$10</f>
        <v>19.418373480049947</v>
      </c>
      <c r="AA63" s="13">
        <f>'Financial Data - Old Segment'!AA64/'Financial Data - Old Seg -USD'!AA$10</f>
        <v>29.604958830604097</v>
      </c>
      <c r="AB63" s="13">
        <f>'Financial Data - Old Segment'!AB64/'Financial Data - Old Seg -USD'!AB$10</f>
        <v>-90.098330665447051</v>
      </c>
      <c r="AC63" s="13">
        <f>'Financial Data - Old Segment'!AC64/'Financial Data - Old Seg -USD'!AC$10</f>
        <v>5.6977737983802017</v>
      </c>
      <c r="AD63" s="13">
        <f>'Financial Data - Old Segment'!AD64/'Financial Data - Old Seg -USD'!AD$10</f>
        <v>6.6390609999999999</v>
      </c>
      <c r="AE63" s="13">
        <f>'Financial Data - Old Segment'!AE64/'Financial Data - Old Seg -USD'!AE$10</f>
        <v>12.04728559596416</v>
      </c>
      <c r="AF63" s="13">
        <f>'Financial Data - Old Segment'!AF64/'Financial Data - Old Seg -USD'!AF$10</f>
        <v>15.446287374498917</v>
      </c>
      <c r="AG63" s="13">
        <f>'Financial Data - Old Segment'!AG64/'Financial Data - Old Seg -USD'!AG$10</f>
        <v>11.561086742153748</v>
      </c>
      <c r="AH63" s="13">
        <f>'Financial Data - Old Segment'!AH64/'Financial Data - Old Seg -USD'!AH$10</f>
        <v>17.134450000000001</v>
      </c>
      <c r="AI63" s="13">
        <f>'Financial Data - Old Segment'!AI64/'Financial Data - Old Seg -USD'!AI$10</f>
        <v>4.5750452079565953</v>
      </c>
      <c r="AJ63" s="13">
        <f>'Financial Data - Old Segment'!AJ64/'Financial Data - Old Seg -USD'!AJ$10</f>
        <v>26.838076935820517</v>
      </c>
      <c r="AK63" s="13">
        <f>'Financial Data - Old Segment'!AK64/'Financial Data - Old Seg -USD'!AK$10</f>
        <v>7.853119584055456</v>
      </c>
      <c r="AL63" s="13">
        <f>'Financial Data - Old Segment'!AL64/'Financial Data - Old Seg -USD'!AL$10</f>
        <v>44.009241940807527</v>
      </c>
      <c r="AM63" s="13">
        <f>'Financial Data - Old Segment'!AM64/'Financial Data - Old Seg -USD'!AM$10</f>
        <v>61.990483081032984</v>
      </c>
      <c r="AN63" s="13">
        <f>'Financial Data - Old Segment'!AN64/'Financial Data - Old Seg -USD'!AN$10</f>
        <v>107.1713540952121</v>
      </c>
      <c r="AO63" s="13">
        <f>'Financial Data - Old Segment'!AO64/'Financial Data - Old Seg -USD'!AO$10</f>
        <v>34.152359951698479</v>
      </c>
      <c r="AP63" s="13">
        <f>'Financial Data - Old Segment'!AP64/'Financial Data - Old Seg -USD'!AP$10</f>
        <v>68.284630445423318</v>
      </c>
      <c r="AQ63" s="13">
        <f>'Financial Data - Old Segment'!AQ64/'Financial Data - Old Seg -USD'!AQ$10</f>
        <v>102.58865710560627</v>
      </c>
      <c r="AR63" s="13">
        <f>'Financial Data - Old Segment'!AR64/'Financial Data - Old Seg -USD'!AR$10</f>
        <v>148.20666238794223</v>
      </c>
      <c r="AS63" s="13">
        <f>'Financial Data - Old Segment'!AS64/'Financial Data - Old Seg -USD'!AS$10</f>
        <v>116.50096030132963</v>
      </c>
      <c r="AT63" s="13">
        <f>'Financial Data - Old Segment'!AT64/'Financial Data - Old Seg -USD'!AT$10</f>
        <v>152.94855597273875</v>
      </c>
      <c r="AU63" s="13">
        <f>'Financial Data - Old Segment'!AU64/'Financial Data - Old Seg -USD'!AU$10</f>
        <v>188.51450175725049</v>
      </c>
      <c r="AV63" s="13">
        <f>'Financial Data - Old Segment'!AV64/'Financial Data - Old Seg -USD'!AV$10</f>
        <v>173.57437579348323</v>
      </c>
    </row>
    <row r="64" spans="2:48" ht="15" customHeight="1" x14ac:dyDescent="0.2">
      <c r="B64" s="26" t="s">
        <v>24</v>
      </c>
      <c r="C64" s="13">
        <f>'Financial Data - Old Segment'!C65/'Financial Data - Old Seg -USD'!C$10</f>
        <v>141.0744</v>
      </c>
      <c r="D64" s="13">
        <f>'Financial Data - Old Segment'!D65/'Financial Data - Old Seg -USD'!D$10</f>
        <v>56.253799999999991</v>
      </c>
      <c r="E64" s="13">
        <f>'Financial Data - Old Segment'!E65/'Financial Data - Old Seg -USD'!E$10</f>
        <v>5.4618278917344307</v>
      </c>
      <c r="F64" s="13">
        <f>'Financial Data - Old Segment'!F65/'Financial Data - Old Seg -USD'!F$10</f>
        <v>-6.2281755781192212</v>
      </c>
      <c r="G64" s="13">
        <f>'Financial Data - Old Segment'!G65/'Financial Data - Old Seg -USD'!G$10</f>
        <v>2.5518160000000001</v>
      </c>
      <c r="H64" s="13">
        <f>'Financial Data - Old Segment'!H65/'Financial Data - Old Seg -USD'!H$10</f>
        <v>8.4104930000000007</v>
      </c>
      <c r="I64" s="13">
        <f>'Financial Data - Old Segment'!I65/'Financial Data - Old Seg -USD'!I$10</f>
        <v>35.953739999999996</v>
      </c>
      <c r="J64" s="13">
        <f>'Financial Data - Old Segment'!J65/'Financial Data - Old Seg -USD'!J$10</f>
        <v>49.461299999999994</v>
      </c>
      <c r="K64" s="13">
        <f>'Financial Data - Old Segment'!K65/'Financial Data - Old Seg -USD'!K$10</f>
        <v>61.419153000000009</v>
      </c>
      <c r="L64" s="13">
        <f>'Financial Data - Old Segment'!L65/'Financial Data - Old Seg -USD'!L$10</f>
        <v>77.382555999999994</v>
      </c>
      <c r="M64" s="13">
        <f>'Financial Data - Old Segment'!M65/'Financial Data - Old Seg -USD'!M$10</f>
        <v>44.566830000000003</v>
      </c>
      <c r="N64" s="13">
        <f>'Financial Data - Old Segment'!N65/'Financial Data - Old Seg -USD'!N$10</f>
        <v>69.688604999999995</v>
      </c>
      <c r="O64" s="13">
        <f>'Financial Data - Old Segment'!O65/'Financial Data - Old Seg -USD'!O$10</f>
        <v>79.723161000000005</v>
      </c>
      <c r="P64" s="13">
        <f>'Financial Data - Old Segment'!P65/'Financial Data - Old Seg -USD'!P$10</f>
        <v>81.99669200000001</v>
      </c>
      <c r="Q64" s="13">
        <f>'Financial Data - Old Segment'!Q65/'Financial Data - Old Seg -USD'!Q$10</f>
        <v>24.582360000000001</v>
      </c>
      <c r="R64" s="13">
        <f>'Financial Data - Old Segment'!R65/'Financial Data - Old Seg -USD'!R$10</f>
        <v>45.163088999999999</v>
      </c>
      <c r="S64" s="13">
        <f>'Financial Data - Old Segment'!S65/'Financial Data - Old Seg -USD'!S$10</f>
        <v>51.276292000000005</v>
      </c>
      <c r="T64" s="13">
        <f>'Financial Data - Old Segment'!T65/'Financial Data - Old Seg -USD'!T$10</f>
        <v>64.724868000000015</v>
      </c>
      <c r="U64" s="13">
        <f>'Financial Data - Old Segment'!U65/'Financial Data - Old Seg -USD'!U$10</f>
        <v>29.208555999999998</v>
      </c>
      <c r="V64" s="13">
        <f>'Financial Data - Old Segment'!V65/'Financial Data - Old Seg -USD'!V$10</f>
        <v>18.24313118469788</v>
      </c>
      <c r="W64" s="13">
        <f>'Financial Data - Old Segment'!W65/'Financial Data - Old Seg -USD'!W$10</f>
        <v>17.716214999999998</v>
      </c>
      <c r="X64" s="13">
        <f>'Financial Data - Old Segment'!X65/'Financial Data - Old Seg -USD'!X$10</f>
        <v>33.100389</v>
      </c>
      <c r="Y64" s="13">
        <f>'Financial Data - Old Segment'!Y65/'Financial Data - Old Seg -USD'!Y$10</f>
        <v>45.606430055088921</v>
      </c>
      <c r="Z64" s="13">
        <f>'Financial Data - Old Segment'!Z65/'Financial Data - Old Seg -USD'!Z$10</f>
        <v>53.16935595727962</v>
      </c>
      <c r="AA64" s="13">
        <f>'Financial Data - Old Segment'!AA65/'Financial Data - Old Seg -USD'!AA$10</f>
        <v>69.386622259228346</v>
      </c>
      <c r="AB64" s="13">
        <f>'Financial Data - Old Segment'!AB65/'Financial Data - Old Seg -USD'!AB$10</f>
        <v>99.702721243997246</v>
      </c>
      <c r="AC64" s="13">
        <f>'Financial Data - Old Segment'!AC65/'Financial Data - Old Seg -USD'!AC$10</f>
        <v>19.942208294330708</v>
      </c>
      <c r="AD64" s="13">
        <f>'Financial Data - Old Segment'!AD65/'Financial Data - Old Seg -USD'!AD$10</f>
        <v>24.994112000000001</v>
      </c>
      <c r="AE64" s="13">
        <f>'Financial Data - Old Segment'!AE65/'Financial Data - Old Seg -USD'!AE$10</f>
        <v>16.56501769445072</v>
      </c>
      <c r="AF64" s="13">
        <f>'Financial Data - Old Segment'!AF65/'Financial Data - Old Seg -USD'!AF$10</f>
        <v>27.582656025890923</v>
      </c>
      <c r="AG64" s="13">
        <f>'Financial Data - Old Segment'!AG65/'Financial Data - Old Seg -USD'!AG$10</f>
        <v>38.083579856506468</v>
      </c>
      <c r="AH64" s="13">
        <f>'Financial Data - Old Segment'!AH65/'Financial Data - Old Seg -USD'!AH$10</f>
        <v>56.200995999999996</v>
      </c>
      <c r="AI64" s="13">
        <f>'Financial Data - Old Segment'!AI65/'Financial Data - Old Seg -USD'!AI$10</f>
        <v>59.085946296359417</v>
      </c>
      <c r="AJ64" s="13">
        <f>'Financial Data - Old Segment'!AJ65/'Financial Data - Old Seg -USD'!AJ$10</f>
        <v>46.38679964215892</v>
      </c>
      <c r="AK64" s="13">
        <f>'Financial Data - Old Segment'!AK65/'Financial Data - Old Seg -USD'!AK$10</f>
        <v>31.141681109185431</v>
      </c>
      <c r="AL64" s="13">
        <f>'Financial Data - Old Segment'!AL65/'Financial Data - Old Seg -USD'!AL$10</f>
        <v>57.212014523049781</v>
      </c>
      <c r="AM64" s="13">
        <f>'Financial Data - Old Segment'!AM65/'Financial Data - Old Seg -USD'!AM$10</f>
        <v>77.425979519145187</v>
      </c>
      <c r="AN64" s="13">
        <f>'Financial Data - Old Segment'!AN65/'Financial Data - Old Seg -USD'!AN$10</f>
        <v>95.116476882974467</v>
      </c>
      <c r="AO64" s="13">
        <f>'Financial Data - Old Segment'!AO65/'Financial Data - Old Seg -USD'!AO$10</f>
        <v>23.100750774400201</v>
      </c>
      <c r="AP64" s="13">
        <f>'Financial Data - Old Segment'!AP65/'Financial Data - Old Seg -USD'!AP$10</f>
        <v>39.074889867841364</v>
      </c>
      <c r="AQ64" s="13">
        <f>'Financial Data - Old Segment'!AQ65/'Financial Data - Old Seg -USD'!AQ$10</f>
        <v>44.68926553672317</v>
      </c>
      <c r="AR64" s="13">
        <f>'Financial Data - Old Segment'!AR65/'Financial Data - Old Seg -USD'!AR$10</f>
        <v>96.066748100453381</v>
      </c>
      <c r="AS64" s="13">
        <f>'Financial Data - Old Segment'!AS65/'Financial Data - Old Seg -USD'!AS$10</f>
        <v>21.747002554588025</v>
      </c>
      <c r="AT64" s="13">
        <f>'Financial Data - Old Segment'!AT65/'Financial Data - Old Seg -USD'!AT$10</f>
        <v>48.349022189796599</v>
      </c>
      <c r="AU64" s="13">
        <f>'Financial Data - Old Segment'!AU65/'Financial Data - Old Seg -USD'!AU$10</f>
        <v>59.343249671624704</v>
      </c>
      <c r="AV64" s="13">
        <f>'Financial Data - Old Segment'!AV65/'Financial Data - Old Seg -USD'!AV$10</f>
        <v>67.97520806883918</v>
      </c>
    </row>
    <row r="65" spans="1:48" ht="15" customHeight="1" x14ac:dyDescent="0.2">
      <c r="B65" s="58" t="s">
        <v>163</v>
      </c>
      <c r="C65" s="15">
        <f>'Financial Data - Old Segment'!C66/'Financial Data - Old Seg -USD'!C$10</f>
        <v>134.5128</v>
      </c>
      <c r="D65" s="15">
        <f>'Financial Data - Old Segment'!D66/'Financial Data - Old Seg -USD'!D$10</f>
        <v>47.777199999999993</v>
      </c>
      <c r="E65" s="15">
        <f>'Financial Data - Old Segment'!E66/'Financial Data - Old Seg -USD'!E$10</f>
        <v>3.64121859448962</v>
      </c>
      <c r="F65" s="15">
        <f>'Financial Data - Old Segment'!F66/'Financial Data - Old Seg -USD'!F$10</f>
        <v>-11.210716040614598</v>
      </c>
      <c r="G65" s="15">
        <f>'Financial Data - Old Segment'!G66/'Financial Data - Old Seg -USD'!G$10</f>
        <v>-5.7415860000000007</v>
      </c>
      <c r="H65" s="15">
        <f>'Financial Data - Old Segment'!H66/'Financial Data - Old Seg -USD'!H$10</f>
        <v>-3.2348050000000002</v>
      </c>
      <c r="I65" s="15">
        <f>'Financial Data - Old Segment'!I66/'Financial Data - Old Seg -USD'!I$10</f>
        <v>32.624690000000001</v>
      </c>
      <c r="J65" s="15">
        <f>'Financial Data - Old Segment'!J66/'Financial Data - Old Seg -USD'!J$10</f>
        <v>42.206975999999997</v>
      </c>
      <c r="K65" s="15">
        <f>'Financial Data - Old Segment'!K66/'Financial Data - Old Seg -USD'!K$10</f>
        <v>50.191996000000003</v>
      </c>
      <c r="L65" s="15">
        <f>'Financial Data - Old Segment'!L66/'Financial Data - Old Seg -USD'!L$10</f>
        <v>63.373644999999996</v>
      </c>
      <c r="M65" s="15">
        <f>'Financial Data - Old Segment'!M66/'Financial Data - Old Seg -USD'!M$10</f>
        <v>41.383485</v>
      </c>
      <c r="N65" s="15">
        <f>'Financial Data - Old Segment'!N66/'Financial Data - Old Seg -USD'!N$10</f>
        <v>63.9345</v>
      </c>
      <c r="O65" s="15">
        <f>'Financial Data - Old Segment'!O66/'Financial Data - Old Seg -USD'!O$10</f>
        <v>71.071035000000009</v>
      </c>
      <c r="P65" s="15">
        <f>'Financial Data - Old Segment'!P66/'Financial Data - Old Seg -USD'!P$10</f>
        <v>71.821920000000006</v>
      </c>
      <c r="Q65" s="15">
        <f>'Financial Data - Old Segment'!Q66/'Financial Data - Old Seg -USD'!Q$10</f>
        <v>22.906289999999998</v>
      </c>
      <c r="R65" s="15">
        <f>'Financial Data - Old Segment'!R66/'Financial Data - Old Seg -USD'!R$10</f>
        <v>40.702537</v>
      </c>
      <c r="S65" s="15">
        <f>'Financial Data - Old Segment'!S66/'Financial Data - Old Seg -USD'!S$10</f>
        <v>44.588079999999998</v>
      </c>
      <c r="T65" s="15">
        <f>'Financial Data - Old Segment'!T66/'Financial Data - Old Seg -USD'!T$10</f>
        <v>54.681354000000006</v>
      </c>
      <c r="U65" s="15">
        <f>'Financial Data - Old Segment'!U66/'Financial Data - Old Seg -USD'!U$10</f>
        <v>25.838337999999997</v>
      </c>
      <c r="V65" s="15">
        <f>'Financial Data - Old Segment'!V66/'Financial Data - Old Seg -USD'!V$10</f>
        <v>12.714909613577309</v>
      </c>
      <c r="W65" s="15">
        <f>'Financial Data - Old Segment'!W66/'Financial Data - Old Seg -USD'!W$10</f>
        <v>8.5896799999999995</v>
      </c>
      <c r="X65" s="15">
        <f>'Financial Data - Old Segment'!X66/'Financial Data - Old Seg -USD'!X$10</f>
        <v>21.016120000000001</v>
      </c>
      <c r="Y65" s="15">
        <f>'Financial Data - Old Segment'!Y66/'Financial Data - Old Seg -USD'!Y$10</f>
        <v>41.542490743249317</v>
      </c>
      <c r="Z65" s="15">
        <f>'Financial Data - Old Segment'!Z66/'Financial Data - Old Seg -USD'!Z$10</f>
        <v>47.158907022978447</v>
      </c>
      <c r="AA65" s="15">
        <f>'Financial Data - Old Segment'!AA66/'Financial Data - Old Seg -USD'!AA$10</f>
        <v>60.135072624664573</v>
      </c>
      <c r="AB65" s="15">
        <f>'Financial Data - Old Segment'!AB66/'Financial Data - Old Seg -USD'!AB$10</f>
        <v>85.067459410015999</v>
      </c>
      <c r="AC65" s="15">
        <f>'Financial Data - Old Segment'!AC66/'Financial Data - Old Seg -USD'!AC$10</f>
        <v>15.058402181433392</v>
      </c>
      <c r="AD65" s="15">
        <f>'Financial Data - Old Segment'!AD66/'Financial Data - Old Seg -USD'!AD$10</f>
        <v>16.402386</v>
      </c>
      <c r="AE65" s="15">
        <f>'Financial Data - Old Segment'!AE66/'Financial Data - Old Seg -USD'!AE$10</f>
        <v>2.6353437241171602</v>
      </c>
      <c r="AF65" s="15">
        <f>'Financial Data - Old Segment'!AF66/'Financial Data - Old Seg -USD'!AF$10</f>
        <v>7.7231436872494585</v>
      </c>
      <c r="AG65" s="15">
        <f>'Financial Data - Old Segment'!AG66/'Financial Data - Old Seg -USD'!AG$10</f>
        <v>31.96300452242507</v>
      </c>
      <c r="AH65" s="15">
        <f>'Financial Data - Old Segment'!AH66/'Financial Data - Old Seg -USD'!AH$10</f>
        <v>44.549570000000003</v>
      </c>
      <c r="AI65" s="15">
        <f>'Financial Data - Old Segment'!AI66/'Financial Data - Old Seg -USD'!AI$10</f>
        <v>42.649015660718504</v>
      </c>
      <c r="AJ65" s="15">
        <f>'Financial Data - Old Segment'!AJ66/'Financial Data - Old Seg -USD'!AJ$10</f>
        <v>24.187402670554295</v>
      </c>
      <c r="AK65" s="15">
        <f>'Financial Data - Old Segment'!AK66/'Financial Data - Old Seg -USD'!AK$10</f>
        <v>25.725736568457528</v>
      </c>
      <c r="AL65" s="15">
        <f>'Financial Data - Old Segment'!AL66/'Financial Data - Old Seg -USD'!AL$10</f>
        <v>46.209704037847899</v>
      </c>
      <c r="AM65" s="15">
        <f>'Financial Data - Old Segment'!AM66/'Financial Data - Old Seg -USD'!AM$10</f>
        <v>60.385129118432801</v>
      </c>
      <c r="AN65" s="15">
        <f>'Financial Data - Old Segment'!AN66/'Financial Data - Old Seg -USD'!AN$10</f>
        <v>70.242831664151552</v>
      </c>
      <c r="AO65" s="15">
        <f>'Financial Data - Old Segment'!AO66/'Financial Data - Old Seg -USD'!AO$10</f>
        <v>18.9006142699638</v>
      </c>
      <c r="AP65" s="15">
        <f>'Financial Data - Old Segment'!AP66/'Financial Data - Old Seg -USD'!AP$10</f>
        <v>26.43171806167398</v>
      </c>
      <c r="AQ65" s="15">
        <f>'Financial Data - Old Segment'!AQ66/'Financial Data - Old Seg -USD'!AQ$10</f>
        <v>26.2929161234246</v>
      </c>
      <c r="AR65" s="15">
        <f>'Financial Data - Old Segment'!AR66/'Financial Data - Old Seg -USD'!AR$10</f>
        <v>79.501459597109758</v>
      </c>
      <c r="AS65" s="15">
        <f>'Financial Data - Old Segment'!AS66/'Financial Data - Old Seg -USD'!AS$10</f>
        <v>20.697756810680811</v>
      </c>
      <c r="AT65" s="15">
        <f>'Financial Data - Old Segment'!AT66/'Financial Data - Old Seg -USD'!AT$10</f>
        <v>41.995124294891177</v>
      </c>
      <c r="AU65" s="15">
        <f>'Financial Data - Old Segment'!AU66/'Financial Data - Old Seg -USD'!AU$10</f>
        <v>52.362526181262979</v>
      </c>
      <c r="AV65" s="15">
        <f>'Financial Data - Old Segment'!AV66/'Financial Data - Old Seg -USD'!AV$10</f>
        <v>58.365072647764265</v>
      </c>
    </row>
    <row r="66" spans="1:48" ht="15" customHeight="1" x14ac:dyDescent="0.2">
      <c r="B66" s="58" t="s">
        <v>7</v>
      </c>
      <c r="C66" s="15">
        <f>'Financial Data - Old Segment'!C67/'Financial Data - Old Seg -USD'!C$10</f>
        <v>6.5616000000000003</v>
      </c>
      <c r="D66" s="15">
        <f>'Financial Data - Old Segment'!D67/'Financial Data - Old Seg -USD'!D$10</f>
        <v>8.4765999999999995</v>
      </c>
      <c r="E66" s="15">
        <f>'Financial Data - Old Segment'!E67/'Financial Data - Old Seg -USD'!E$10</f>
        <v>1.82060929724481</v>
      </c>
      <c r="F66" s="15">
        <f>'Financial Data - Old Segment'!F67/'Financial Data - Old Seg -USD'!F$10</f>
        <v>4.9825404624953764</v>
      </c>
      <c r="G66" s="15">
        <f>'Financial Data - Old Segment'!G67/'Financial Data - Old Seg -USD'!G$10</f>
        <v>8.2934020000000004</v>
      </c>
      <c r="H66" s="15">
        <f>'Financial Data - Old Segment'!H67/'Financial Data - Old Seg -USD'!H$10</f>
        <v>11.645298</v>
      </c>
      <c r="I66" s="15">
        <f>'Financial Data - Old Segment'!I67/'Financial Data - Old Seg -USD'!I$10</f>
        <v>3.3290500000000001</v>
      </c>
      <c r="J66" s="15">
        <f>'Financial Data - Old Segment'!J67/'Financial Data - Old Seg -USD'!J$10</f>
        <v>7.2543239999999996</v>
      </c>
      <c r="K66" s="15">
        <f>'Financial Data - Old Segment'!K67/'Financial Data - Old Seg -USD'!K$10</f>
        <v>11.227157000000002</v>
      </c>
      <c r="L66" s="15">
        <f>'Financial Data - Old Segment'!L67/'Financial Data - Old Seg -USD'!L$10</f>
        <v>14.008910999999999</v>
      </c>
      <c r="M66" s="15">
        <f>'Financial Data - Old Segment'!M67/'Financial Data - Old Seg -USD'!M$10</f>
        <v>3.1833450000000001</v>
      </c>
      <c r="N66" s="15">
        <f>'Financial Data - Old Segment'!N67/'Financial Data - Old Seg -USD'!N$10</f>
        <v>5.754105</v>
      </c>
      <c r="O66" s="15">
        <f>'Financial Data - Old Segment'!O67/'Financial Data - Old Seg -USD'!O$10</f>
        <v>8.6521260000000009</v>
      </c>
      <c r="P66" s="15">
        <f>'Financial Data - Old Segment'!P67/'Financial Data - Old Seg -USD'!P$10</f>
        <v>10.174772000000001</v>
      </c>
      <c r="Q66" s="15">
        <f>'Financial Data - Old Segment'!Q67/'Financial Data - Old Seg -USD'!Q$10</f>
        <v>1.6760699999999999</v>
      </c>
      <c r="R66" s="15">
        <f>'Financial Data - Old Segment'!R67/'Financial Data - Old Seg -USD'!R$10</f>
        <v>4.4605519999999999</v>
      </c>
      <c r="S66" s="15">
        <f>'Financial Data - Old Segment'!S67/'Financial Data - Old Seg -USD'!S$10</f>
        <v>6.688212</v>
      </c>
      <c r="T66" s="15">
        <f>'Financial Data - Old Segment'!T67/'Financial Data - Old Seg -USD'!T$10</f>
        <v>10.043514000000002</v>
      </c>
      <c r="U66" s="15">
        <f>'Financial Data - Old Segment'!U67/'Financial Data - Old Seg -USD'!U$10</f>
        <v>3.3702179999999995</v>
      </c>
      <c r="V66" s="15">
        <f>'Financial Data - Old Segment'!V67/'Financial Data - Old Seg -USD'!V$10</f>
        <v>5.5282215711205689</v>
      </c>
      <c r="W66" s="15">
        <f>'Financial Data - Old Segment'!W67/'Financial Data - Old Seg -USD'!W$10</f>
        <v>9.1265350000000005</v>
      </c>
      <c r="X66" s="15">
        <f>'Financial Data - Old Segment'!X67/'Financial Data - Old Seg -USD'!X$10</f>
        <v>12.084268999999999</v>
      </c>
      <c r="Y66" s="15">
        <f>'Financial Data - Old Segment'!Y67/'Financial Data - Old Seg -USD'!Y$10</f>
        <v>4.063939311839607</v>
      </c>
      <c r="Z66" s="15">
        <f>'Financial Data - Old Segment'!Z67/'Financial Data - Old Seg -USD'!Z$10</f>
        <v>6.0104489343011744</v>
      </c>
      <c r="AA66" s="15">
        <f>'Financial Data - Old Segment'!AA67/'Financial Data - Old Seg -USD'!AA$10</f>
        <v>9.25154963456378</v>
      </c>
      <c r="AB66" s="15">
        <f>'Financial Data - Old Segment'!AB67/'Financial Data - Old Seg -USD'!AB$10</f>
        <v>14.635261833981248</v>
      </c>
      <c r="AC66" s="15">
        <f>'Financial Data - Old Segment'!AC67/'Financial Data - Old Seg -USD'!AC$10</f>
        <v>4.8838061128973163</v>
      </c>
      <c r="AD66" s="15">
        <f>'Financial Data - Old Segment'!AD67/'Financial Data - Old Seg -USD'!AD$10</f>
        <v>8.5917259999999995</v>
      </c>
      <c r="AE66" s="15">
        <f>'Financial Data - Old Segment'!AE67/'Financial Data - Old Seg -USD'!AE$10</f>
        <v>13.92967397033356</v>
      </c>
      <c r="AF66" s="15">
        <f>'Financial Data - Old Segment'!AF67/'Financial Data - Old Seg -USD'!AF$10</f>
        <v>19.859512338641466</v>
      </c>
      <c r="AG66" s="15">
        <f>'Financial Data - Old Segment'!AG67/'Financial Data - Old Seg -USD'!AG$10</f>
        <v>6.120575334081396</v>
      </c>
      <c r="AH66" s="15">
        <f>'Financial Data - Old Segment'!AH67/'Financial Data - Old Seg -USD'!AH$10</f>
        <v>11.651426000000001</v>
      </c>
      <c r="AI66" s="15">
        <f>'Financial Data - Old Segment'!AI67/'Financial Data - Old Seg -USD'!AI$10</f>
        <v>16.377222013715905</v>
      </c>
      <c r="AJ66" s="15">
        <f>'Financial Data - Old Segment'!AJ67/'Financial Data - Old Seg -USD'!AJ$10</f>
        <v>22.199396971604624</v>
      </c>
      <c r="AK66" s="15">
        <f>'Financial Data - Old Segment'!AK67/'Financial Data - Old Seg -USD'!AK$10</f>
        <v>5.4159445407279012</v>
      </c>
      <c r="AL66" s="15">
        <f>'Financial Data - Old Segment'!AL67/'Financial Data - Old Seg -USD'!AL$10</f>
        <v>11.002310485201882</v>
      </c>
      <c r="AM66" s="15">
        <f>'Financial Data - Old Segment'!AM67/'Financial Data - Old Seg -USD'!AM$10</f>
        <v>18.644256455921649</v>
      </c>
      <c r="AN66" s="15">
        <f>'Financial Data - Old Segment'!AN67/'Financial Data - Old Seg -USD'!AN$10</f>
        <v>24.969131568116371</v>
      </c>
      <c r="AO66" s="15">
        <f>'Financial Data - Old Segment'!AO67/'Financial Data - Old Seg -USD'!AO$10</f>
        <v>4.2001365044363999</v>
      </c>
      <c r="AP66" s="15">
        <f>'Financial Data - Old Segment'!AP67/'Financial Data - Old Seg -USD'!AP$10</f>
        <v>9.0553108174253438</v>
      </c>
      <c r="AQ66" s="15">
        <f>'Financial Data - Old Segment'!AQ67/'Financial Data - Old Seg -USD'!AQ$10</f>
        <v>13.906996957844417</v>
      </c>
      <c r="AR66" s="15">
        <f>'Financial Data - Old Segment'!AR67/'Financial Data - Old Seg -USD'!AR$10</f>
        <v>16.976874184799481</v>
      </c>
      <c r="AS66" s="15">
        <f>'Financial Data - Old Segment'!AS67/'Financial Data - Old Seg -USD'!AS$10</f>
        <v>1.8646627757370098</v>
      </c>
      <c r="AT66" s="15">
        <f>'Financial Data - Old Segment'!AT67/'Financial Data - Old Seg -USD'!AT$10</f>
        <v>5.5163086997526554</v>
      </c>
      <c r="AU66" s="15">
        <f>'Financial Data - Old Segment'!AU67/'Financial Data - Old Seg -USD'!AU$10</f>
        <v>7.2775036387518037</v>
      </c>
      <c r="AV66" s="15">
        <f>'Financial Data - Old Segment'!AV67/'Financial Data - Old Seg -USD'!AV$10</f>
        <v>11.990407673860936</v>
      </c>
    </row>
    <row r="67" spans="1:48" ht="15" customHeight="1" x14ac:dyDescent="0.2">
      <c r="B67" s="58" t="s">
        <v>185</v>
      </c>
      <c r="C67" s="15">
        <f>'Financial Data - Old Segment'!C68/'Financial Data - Old Seg -USD'!C$10</f>
        <v>0</v>
      </c>
      <c r="D67" s="15">
        <f>'Financial Data - Old Segment'!D68/'Financial Data - Old Seg -USD'!D$10</f>
        <v>0</v>
      </c>
      <c r="E67" s="15">
        <f>'Financial Data - Old Segment'!E68/'Financial Data - Old Seg -USD'!E$10</f>
        <v>0</v>
      </c>
      <c r="F67" s="15">
        <f>'Financial Data - Old Segment'!F68/'Financial Data - Old Seg -USD'!F$10</f>
        <v>0</v>
      </c>
      <c r="G67" s="15">
        <f>'Financial Data - Old Segment'!G68/'Financial Data - Old Seg -USD'!G$10</f>
        <v>0</v>
      </c>
      <c r="H67" s="15">
        <f>'Financial Data - Old Segment'!H68/'Financial Data - Old Seg -USD'!H$10</f>
        <v>0</v>
      </c>
      <c r="I67" s="15">
        <f>'Financial Data - Old Segment'!I68/'Financial Data - Old Seg -USD'!I$10</f>
        <v>0</v>
      </c>
      <c r="J67" s="15">
        <f>'Financial Data - Old Segment'!J68/'Financial Data - Old Seg -USD'!J$10</f>
        <v>0</v>
      </c>
      <c r="K67" s="15">
        <f>'Financial Data - Old Segment'!K68/'Financial Data - Old Seg -USD'!K$10</f>
        <v>0</v>
      </c>
      <c r="L67" s="15">
        <f>'Financial Data - Old Segment'!L68/'Financial Data - Old Seg -USD'!L$10</f>
        <v>0</v>
      </c>
      <c r="M67" s="15">
        <f>'Financial Data - Old Segment'!M68/'Financial Data - Old Seg -USD'!M$10</f>
        <v>0</v>
      </c>
      <c r="N67" s="15">
        <f>'Financial Data - Old Segment'!N68/'Financial Data - Old Seg -USD'!N$10</f>
        <v>0</v>
      </c>
      <c r="O67" s="15">
        <f>'Financial Data - Old Segment'!O68/'Financial Data - Old Seg -USD'!O$10</f>
        <v>0</v>
      </c>
      <c r="P67" s="15">
        <f>'Financial Data - Old Segment'!P68/'Financial Data - Old Seg -USD'!P$10</f>
        <v>0</v>
      </c>
      <c r="Q67" s="15">
        <f>'Financial Data - Old Segment'!Q68/'Financial Data - Old Seg -USD'!Q$10</f>
        <v>0</v>
      </c>
      <c r="R67" s="15">
        <f>'Financial Data - Old Segment'!R68/'Financial Data - Old Seg -USD'!R$10</f>
        <v>0</v>
      </c>
      <c r="S67" s="15">
        <f>'Financial Data - Old Segment'!S68/'Financial Data - Old Seg -USD'!S$10</f>
        <v>0</v>
      </c>
      <c r="T67" s="15">
        <f>'Financial Data - Old Segment'!T68/'Financial Data - Old Seg -USD'!T$10</f>
        <v>0</v>
      </c>
      <c r="U67" s="15">
        <f>'Financial Data - Old Segment'!U68/'Financial Data - Old Seg -USD'!U$10</f>
        <v>0</v>
      </c>
      <c r="V67" s="15">
        <f>'Financial Data - Old Segment'!V68/'Financial Data - Old Seg -USD'!V$10</f>
        <v>0</v>
      </c>
      <c r="W67" s="15">
        <f>'Financial Data - Old Segment'!W68/'Financial Data - Old Seg -USD'!W$10</f>
        <v>0</v>
      </c>
      <c r="X67" s="15">
        <f>'Financial Data - Old Segment'!X68/'Financial Data - Old Seg -USD'!X$10</f>
        <v>0</v>
      </c>
      <c r="Y67" s="15">
        <f>'Financial Data - Old Segment'!Y68/'Financial Data - Old Seg -USD'!Y$10</f>
        <v>0</v>
      </c>
      <c r="Z67" s="15">
        <f>'Financial Data - Old Segment'!Z68/'Financial Data - Old Seg -USD'!Z$10</f>
        <v>0</v>
      </c>
      <c r="AA67" s="15">
        <f>'Financial Data - Old Segment'!AA68/'Financial Data - Old Seg -USD'!AA$10</f>
        <v>0</v>
      </c>
      <c r="AB67" s="15">
        <f>'Financial Data - Old Segment'!AB68/'Financial Data - Old Seg -USD'!AB$10</f>
        <v>0</v>
      </c>
      <c r="AC67" s="15">
        <f>'Financial Data - Old Segment'!AC68/'Financial Data - Old Seg -USD'!AC$10</f>
        <v>0</v>
      </c>
      <c r="AD67" s="15">
        <f>'Financial Data - Old Segment'!AD68/'Financial Data - Old Seg -USD'!AD$10</f>
        <v>0</v>
      </c>
      <c r="AE67" s="15">
        <f>'Financial Data - Old Segment'!AE68/'Financial Data - Old Seg -USD'!AE$10</f>
        <v>0</v>
      </c>
      <c r="AF67" s="15">
        <f>'Financial Data - Old Segment'!AF68/'Financial Data - Old Seg -USD'!AF$10</f>
        <v>0</v>
      </c>
      <c r="AG67" s="15">
        <f>'Financial Data - Old Segment'!AG68/'Financial Data - Old Seg -USD'!AG$10</f>
        <v>0</v>
      </c>
      <c r="AH67" s="15">
        <f>'Financial Data - Old Segment'!AH68/'Financial Data - Old Seg -USD'!AH$10</f>
        <v>0</v>
      </c>
      <c r="AI67" s="15">
        <f>'Financial Data - Old Segment'!AI68/'Financial Data - Old Seg -USD'!AI$10</f>
        <v>0</v>
      </c>
      <c r="AJ67" s="15">
        <f>'Financial Data - Old Segment'!AJ68/'Financial Data - Old Seg -USD'!AJ$10</f>
        <v>0</v>
      </c>
      <c r="AK67" s="15">
        <f>'Financial Data - Old Segment'!AK68/'Financial Data - Old Seg -USD'!AK$10</f>
        <v>0</v>
      </c>
      <c r="AL67" s="15">
        <f>'Financial Data - Old Segment'!AL68/'Financial Data - Old Seg -USD'!AL$10</f>
        <v>-1.6503465727802822</v>
      </c>
      <c r="AM67" s="15">
        <f>'Financial Data - Old Segment'!AM68/'Financial Data - Old Seg -USD'!AM$10</f>
        <v>-1.9479073909171871</v>
      </c>
      <c r="AN67" s="15">
        <f>'Financial Data - Old Segment'!AN68/'Financial Data - Old Seg -USD'!AN$10</f>
        <v>-1.6463163671285519</v>
      </c>
      <c r="AO67" s="15">
        <f>'Financial Data - Old Segment'!AO68/'Financial Data - Old Seg -USD'!AO$10</f>
        <v>-2.1000682522181999</v>
      </c>
      <c r="AP67" s="15">
        <f>'Financial Data - Old Segment'!AP68/'Financial Data - Old Seg -USD'!AP$10</f>
        <v>3.6710719530102747</v>
      </c>
      <c r="AQ67" s="15">
        <f>'Financial Data - Old Segment'!AQ68/'Financial Data - Old Seg -USD'!AQ$10</f>
        <v>4.5632333767926996</v>
      </c>
      <c r="AR67" s="15">
        <f>'Financial Data - Old Segment'!AR68/'Financial Data - Old Seg -USD'!AR$10</f>
        <v>-0.41407010206828004</v>
      </c>
      <c r="AS67" s="15">
        <f>'Financial Data - Old Segment'!AS68/'Financial Data - Old Seg -USD'!AS$10</f>
        <v>-0.74586511029480396</v>
      </c>
      <c r="AT67" s="15">
        <f>'Financial Data - Old Segment'!AT68/'Financial Data - Old Seg -USD'!AT$10</f>
        <v>1.2456180934925349</v>
      </c>
      <c r="AU67" s="15">
        <f>'Financial Data - Old Segment'!AU68/'Financial Data - Old Seg -USD'!AU$10</f>
        <v>-0.177500088750044</v>
      </c>
      <c r="AV67" s="15">
        <f>'Financial Data - Old Segment'!AV68/'Financial Data - Old Seg -USD'!AV$10</f>
        <v>-2.468613344618428</v>
      </c>
    </row>
    <row r="68" spans="1:48" ht="15" customHeight="1" x14ac:dyDescent="0.2">
      <c r="B68" s="26" t="s">
        <v>149</v>
      </c>
      <c r="C68" s="13">
        <f>'Financial Data - Old Segment'!C69/'Financial Data - Old Seg -USD'!C$10</f>
        <v>-8.202</v>
      </c>
      <c r="D68" s="13">
        <f>'Financial Data - Old Segment'!D69/'Financial Data - Old Seg -USD'!D$10</f>
        <v>-10.788399999999999</v>
      </c>
      <c r="E68" s="13">
        <f>'Financial Data - Old Segment'!E69/'Financial Data - Old Seg -USD'!E$10</f>
        <v>-1.21373953149654</v>
      </c>
      <c r="F68" s="13">
        <f>'Financial Data - Old Segment'!F69/'Financial Data - Old Seg -USD'!F$10</f>
        <v>3.1140877890596106</v>
      </c>
      <c r="G68" s="13">
        <f>'Financial Data - Old Segment'!G69/'Financial Data - Old Seg -USD'!G$10</f>
        <v>3.8277240000000003</v>
      </c>
      <c r="H68" s="13">
        <f>'Financial Data - Old Segment'!H69/'Financial Data - Old Seg -USD'!H$10</f>
        <v>4.5287269999999999</v>
      </c>
      <c r="I68" s="13">
        <f>'Financial Data - Old Segment'!I69/'Financial Data - Old Seg -USD'!I$10</f>
        <v>0</v>
      </c>
      <c r="J68" s="13">
        <f>'Financial Data - Old Segment'!J69/'Financial Data - Old Seg -USD'!J$10</f>
        <v>0.65948399999999996</v>
      </c>
      <c r="K68" s="13">
        <f>'Financial Data - Old Segment'!K69/'Financial Data - Old Seg -USD'!K$10</f>
        <v>1.3208420000000001</v>
      </c>
      <c r="L68" s="13">
        <f>'Financial Data - Old Segment'!L69/'Financial Data - Old Seg -USD'!L$10</f>
        <v>2.0012729999999999</v>
      </c>
      <c r="M68" s="13">
        <f>'Financial Data - Old Segment'!M69/'Financial Data - Old Seg -USD'!M$10</f>
        <v>0.63666900000000004</v>
      </c>
      <c r="N68" s="13">
        <f>'Financial Data - Old Segment'!N69/'Financial Data - Old Seg -USD'!N$10</f>
        <v>1.2786900000000001</v>
      </c>
      <c r="O68" s="13">
        <f>'Financial Data - Old Segment'!O69/'Financial Data - Old Seg -USD'!O$10</f>
        <v>3.0900450000000004</v>
      </c>
      <c r="P68" s="13">
        <f>'Financial Data - Old Segment'!P69/'Financial Data - Old Seg -USD'!P$10</f>
        <v>4.1896120000000003</v>
      </c>
      <c r="Q68" s="13">
        <f>'Financial Data - Old Segment'!Q69/'Financial Data - Old Seg -USD'!Q$10</f>
        <v>0</v>
      </c>
      <c r="R68" s="13">
        <f>'Financial Data - Old Segment'!R69/'Financial Data - Old Seg -USD'!R$10</f>
        <v>0</v>
      </c>
      <c r="S68" s="13">
        <f>'Financial Data - Old Segment'!S69/'Financial Data - Old Seg -USD'!S$10</f>
        <v>1.1147020000000001</v>
      </c>
      <c r="T68" s="13">
        <f>'Financial Data - Old Segment'!T69/'Financial Data - Old Seg -USD'!T$10</f>
        <v>1.1159460000000001</v>
      </c>
      <c r="U68" s="13">
        <f>'Financial Data - Old Segment'!U69/'Financial Data - Old Seg -USD'!U$10</f>
        <v>0.56170299999999995</v>
      </c>
      <c r="V68" s="13">
        <f>'Financial Data - Old Segment'!V69/'Financial Data - Old Seg -USD'!V$10</f>
        <v>-0.55282215711205696</v>
      </c>
      <c r="W68" s="13">
        <f>'Financial Data - Old Segment'!W69/'Financial Data - Old Seg -USD'!W$10</f>
        <v>-0.53685499999999997</v>
      </c>
      <c r="X68" s="13">
        <f>'Financial Data - Old Segment'!X69/'Financial Data - Old Seg -USD'!X$10</f>
        <v>-0.52540299999999995</v>
      </c>
      <c r="Y68" s="13">
        <f>'Financial Data - Old Segment'!Y69/'Financial Data - Old Seg -USD'!Y$10</f>
        <v>0</v>
      </c>
      <c r="Z68" s="13">
        <f>'Financial Data - Old Segment'!Z69/'Financial Data - Old Seg -USD'!Z$10</f>
        <v>0</v>
      </c>
      <c r="AA68" s="13">
        <f>'Financial Data - Old Segment'!AA69/'Financial Data - Old Seg -USD'!AA$10</f>
        <v>-0.92515496345637804</v>
      </c>
      <c r="AB68" s="13">
        <f>'Financial Data - Old Segment'!AB69/'Financial Data - Old Seg -USD'!AB$10</f>
        <v>-1.829407729247656</v>
      </c>
      <c r="AC68" s="13">
        <f>'Financial Data - Old Segment'!AC69/'Financial Data - Old Seg -USD'!AC$10</f>
        <v>0</v>
      </c>
      <c r="AD68" s="13">
        <f>'Financial Data - Old Segment'!AD69/'Financial Data - Old Seg -USD'!AD$10</f>
        <v>-0.39053300000000002</v>
      </c>
      <c r="AE68" s="13">
        <f>'Financial Data - Old Segment'!AE69/'Financial Data - Old Seg -USD'!AE$10</f>
        <v>-0.37647767487388001</v>
      </c>
      <c r="AF68" s="13">
        <f>'Financial Data - Old Segment'!AF69/'Financial Data - Old Seg -USD'!AF$10</f>
        <v>-0.73553749402375801</v>
      </c>
      <c r="AG68" s="13">
        <f>'Financial Data - Old Segment'!AG69/'Financial Data - Old Seg -USD'!AG$10</f>
        <v>-0.68006392600904397</v>
      </c>
      <c r="AH68" s="13">
        <f>'Financial Data - Old Segment'!AH69/'Financial Data - Old Seg -USD'!AH$10</f>
        <v>-2.0561340000000001</v>
      </c>
      <c r="AI68" s="13">
        <f>'Financial Data - Old Segment'!AI69/'Financial Data - Old Seg -USD'!AI$10</f>
        <v>-2.5858951175406841</v>
      </c>
      <c r="AJ68" s="13">
        <f>'Financial Data - Old Segment'!AJ69/'Financial Data - Old Seg -USD'!AJ$10</f>
        <v>3.6446771147410582</v>
      </c>
      <c r="AK68" s="13">
        <f>'Financial Data - Old Segment'!AK69/'Financial Data - Old Seg -USD'!AK$10</f>
        <v>0.27079722703639503</v>
      </c>
      <c r="AL68" s="13">
        <f>'Financial Data - Old Segment'!AL69/'Financial Data - Old Seg -USD'!AL$10</f>
        <v>3.0256353834305174</v>
      </c>
      <c r="AM68" s="13">
        <f>'Financial Data - Old Segment'!AM69/'Financial Data - Old Seg -USD'!AM$10</f>
        <v>-7.8751113089937694E-2</v>
      </c>
      <c r="AN68" s="13">
        <f>'Financial Data - Old Segment'!AN69/'Financial Data - Old Seg -USD'!AN$10</f>
        <v>-3.80518589655646</v>
      </c>
      <c r="AO68" s="13">
        <f>'Financial Data - Old Segment'!AO69/'Financial Data - Old Seg -USD'!AO$10</f>
        <v>-2.4413293432036576</v>
      </c>
      <c r="AP68" s="13">
        <f>'Financial Data - Old Segment'!AP69/'Financial Data - Old Seg -USD'!AP$10</f>
        <v>-4.661037689672046</v>
      </c>
      <c r="AQ68" s="13">
        <f>'Financial Data - Old Segment'!AQ69/'Financial Data - Old Seg -USD'!AQ$10</f>
        <v>-5.5304215558452858</v>
      </c>
      <c r="AR68" s="13">
        <f>'Financial Data - Old Segment'!AR69/'Financial Data - Old Seg -USD'!AR$10</f>
        <v>-5.1237034429928974</v>
      </c>
      <c r="AS68" s="13">
        <f>'Financial Data - Old Segment'!AS69/'Financial Data - Old Seg -USD'!AS$10</f>
        <v>1.3022804825747276</v>
      </c>
      <c r="AT68" s="13">
        <f>'Financial Data - Old Segment'!AT69/'Financial Data - Old Seg -USD'!AT$10</f>
        <v>-0.13310319056177375</v>
      </c>
      <c r="AU68" s="13">
        <f>'Financial Data - Old Segment'!AU69/'Financial Data - Old Seg -USD'!AU$10</f>
        <v>8.5732542866271244E-2</v>
      </c>
      <c r="AV68" s="93"/>
    </row>
    <row r="69" spans="1:48" ht="15" customHeight="1" x14ac:dyDescent="0.2">
      <c r="B69" s="26" t="s">
        <v>148</v>
      </c>
      <c r="C69" s="13">
        <f>'Financial Data - Old Segment'!C70/'Financial Data - Old Seg -USD'!C$10</f>
        <v>31.9878</v>
      </c>
      <c r="D69" s="13">
        <f>'Financial Data - Old Segment'!D70/'Financial Data - Old Seg -USD'!D$10</f>
        <v>27.741599999999998</v>
      </c>
      <c r="E69" s="13">
        <f>'Financial Data - Old Segment'!E70/'Financial Data - Old Seg -USD'!E$10</f>
        <v>-4.8549581259861601</v>
      </c>
      <c r="F69" s="13">
        <f>'Financial Data - Old Segment'!F70/'Financial Data - Old Seg -USD'!F$10</f>
        <v>6.8509931359311427</v>
      </c>
      <c r="G69" s="13">
        <f>'Financial Data - Old Segment'!G70/'Financial Data - Old Seg -USD'!G$10</f>
        <v>10.207264</v>
      </c>
      <c r="H69" s="13">
        <f>'Financial Data - Old Segment'!H70/'Financial Data - Old Seg -USD'!H$10</f>
        <v>15.527063999999999</v>
      </c>
      <c r="I69" s="13">
        <f>'Financial Data - Old Segment'!I70/'Financial Data - Old Seg -USD'!I$10</f>
        <v>1.33162</v>
      </c>
      <c r="J69" s="13">
        <f>'Financial Data - Old Segment'!J70/'Financial Data - Old Seg -USD'!J$10</f>
        <v>9.2327759999999994</v>
      </c>
      <c r="K69" s="13">
        <f>'Financial Data - Old Segment'!K70/'Financial Data - Old Seg -USD'!K$10</f>
        <v>13.208420000000002</v>
      </c>
      <c r="L69" s="13">
        <f>'Financial Data - Old Segment'!L70/'Financial Data - Old Seg -USD'!L$10</f>
        <v>12.674728999999999</v>
      </c>
      <c r="M69" s="13">
        <f>'Financial Data - Old Segment'!M70/'Financial Data - Old Seg -USD'!M$10</f>
        <v>2.5466760000000002</v>
      </c>
      <c r="N69" s="13">
        <f>'Financial Data - Old Segment'!N70/'Financial Data - Old Seg -USD'!N$10</f>
        <v>5.754105</v>
      </c>
      <c r="O69" s="13">
        <f>'Financial Data - Old Segment'!O70/'Financial Data - Old Seg -USD'!O$10</f>
        <v>10.506153000000001</v>
      </c>
      <c r="P69" s="13">
        <f>'Financial Data - Old Segment'!P70/'Financial Data - Old Seg -USD'!P$10</f>
        <v>16.758448000000001</v>
      </c>
      <c r="Q69" s="13">
        <f>'Financial Data - Old Segment'!Q70/'Financial Data - Old Seg -USD'!Q$10</f>
        <v>6.1455900000000003</v>
      </c>
      <c r="R69" s="13">
        <f>'Financial Data - Old Segment'!R70/'Financial Data - Old Seg -USD'!R$10</f>
        <v>12.266518</v>
      </c>
      <c r="S69" s="13">
        <f>'Financial Data - Old Segment'!S70/'Financial Data - Old Seg -USD'!S$10</f>
        <v>16.163179</v>
      </c>
      <c r="T69" s="13">
        <f>'Financial Data - Old Segment'!T70/'Financial Data - Old Seg -USD'!T$10</f>
        <v>88.717707000000019</v>
      </c>
      <c r="U69" s="13">
        <f>'Financial Data - Old Segment'!U70/'Financial Data - Old Seg -USD'!U$10</f>
        <v>34.825585999999994</v>
      </c>
      <c r="V69" s="13">
        <f>'Financial Data - Old Segment'!V70/'Financial Data - Old Seg -USD'!V$10</f>
        <v>42.567306097628382</v>
      </c>
      <c r="W69" s="13">
        <f>'Financial Data - Old Segment'!W70/'Financial Data - Old Seg -USD'!W$10</f>
        <v>47.780095000000003</v>
      </c>
      <c r="X69" s="13">
        <f>'Financial Data - Old Segment'!X70/'Financial Data - Old Seg -USD'!X$10</f>
        <v>48.337075999999996</v>
      </c>
      <c r="Y69" s="13">
        <f>'Financial Data - Old Segment'!Y70/'Financial Data - Old Seg -USD'!Y$10</f>
        <v>7.6763298112525904</v>
      </c>
      <c r="Z69" s="13">
        <f>'Financial Data - Old Segment'!Z70/'Financial Data - Old Seg -USD'!Z$10</f>
        <v>12.483240094317823</v>
      </c>
      <c r="AA69" s="13">
        <f>'Financial Data - Old Segment'!AA70/'Financial Data - Old Seg -USD'!AA$10</f>
        <v>18.965676750855749</v>
      </c>
      <c r="AB69" s="13">
        <f>'Financial Data - Old Segment'!AB70/'Financial Data - Old Seg -USD'!AB$10</f>
        <v>18.751429224788474</v>
      </c>
      <c r="AC69" s="13">
        <f>'Financial Data - Old Segment'!AC70/'Financial Data - Old Seg -USD'!AC$10</f>
        <v>9.3606283830531893</v>
      </c>
      <c r="AD69" s="13">
        <f>'Financial Data - Old Segment'!AD70/'Financial Data - Old Seg -USD'!AD$10</f>
        <v>14.059188000000001</v>
      </c>
      <c r="AE69" s="13">
        <f>'Financial Data - Old Segment'!AE70/'Financial Data - Old Seg -USD'!AE$10</f>
        <v>31.247647014532042</v>
      </c>
      <c r="AF69" s="13">
        <f>'Financial Data - Old Segment'!AF70/'Financial Data - Old Seg -USD'!AF$10</f>
        <v>28.685962266926559</v>
      </c>
      <c r="AG69" s="13">
        <f>'Financial Data - Old Segment'!AG70/'Financial Data - Old Seg -USD'!AG$10</f>
        <v>2.0401917780271321</v>
      </c>
      <c r="AH69" s="13">
        <f>'Financial Data - Old Segment'!AH70/'Financial Data - Old Seg -USD'!AH$10</f>
        <v>5.4830240000000003</v>
      </c>
      <c r="AI69" s="13">
        <f>'Financial Data - Old Segment'!AI70/'Financial Data - Old Seg -USD'!AI$10</f>
        <v>12.038281756457048</v>
      </c>
      <c r="AJ69" s="13">
        <f>'Financial Data - Old Segment'!AJ70/'Financial Data - Old Seg -USD'!AJ$10</f>
        <v>32.802094032669523</v>
      </c>
      <c r="AK69" s="13">
        <f>'Financial Data - Old Segment'!AK70/'Financial Data - Old Seg -USD'!AK$10</f>
        <v>4.3327556325823204</v>
      </c>
      <c r="AL69" s="13">
        <f>'Financial Data - Old Segment'!AL70/'Financial Data - Old Seg -USD'!AL$10</f>
        <v>1.6503465727802822</v>
      </c>
      <c r="AM69" s="13">
        <f>'Financial Data - Old Segment'!AM70/'Financial Data - Old Seg -USD'!AM$10</f>
        <v>4.2798308103294769</v>
      </c>
      <c r="AN69" s="13">
        <f>'Financial Data - Old Segment'!AN70/'Financial Data - Old Seg -USD'!AN$10</f>
        <v>12.994375085745659</v>
      </c>
      <c r="AO69" s="13">
        <f>'Financial Data - Old Segment'!AO70/'Financial Data - Old Seg -USD'!AO$10</f>
        <v>8.452774715178256</v>
      </c>
      <c r="AP69" s="13">
        <f>'Financial Data - Old Segment'!AP70/'Financial Data - Old Seg -USD'!AP$10</f>
        <v>28.172050905531052</v>
      </c>
      <c r="AQ69" s="13">
        <f>'Financial Data - Old Segment'!AQ70/'Financial Data - Old Seg -USD'!AQ$10</f>
        <v>71.570404172099103</v>
      </c>
      <c r="AR69" s="13">
        <f>'Financial Data - Old Segment'!AR70/'Financial Data - Old Seg -USD'!AR$10</f>
        <v>45.891803482329543</v>
      </c>
      <c r="AS69" s="13">
        <f>'Financial Data - Old Segment'!AS70/'Financial Data - Old Seg -USD'!AS$10</f>
        <v>6.0622051501985936</v>
      </c>
      <c r="AT69" s="13">
        <f>'Financial Data - Old Segment'!AT70/'Financial Data - Old Seg -USD'!AT$10</f>
        <v>8.6974393650906627</v>
      </c>
      <c r="AU69" s="13">
        <f>'Financial Data - Old Segment'!AU70/'Financial Data - Old Seg -USD'!AU$10</f>
        <v>7.0085910042954866</v>
      </c>
      <c r="AV69" s="13">
        <f>'Financial Data - Old Segment'!AV70/'Financial Data - Old Seg -USD'!AV$10</f>
        <v>7.9318310057836241</v>
      </c>
    </row>
    <row r="70" spans="1:48" ht="15" customHeight="1" x14ac:dyDescent="0.2">
      <c r="A70" s="63" t="s">
        <v>79</v>
      </c>
      <c r="B70" s="49" t="s">
        <v>135</v>
      </c>
      <c r="C70" s="50">
        <f>'Financial Data - Old Segment'!C71/'Financial Data - Old Seg -USD'!C$10</f>
        <v>178.80360000000002</v>
      </c>
      <c r="D70" s="50">
        <f>'Financial Data - Old Segment'!D71/'Financial Data - Old Seg -USD'!D$10</f>
        <v>70.124599999999987</v>
      </c>
      <c r="E70" s="50">
        <f>'Financial Data - Old Segment'!E71/'Financial Data - Old Seg -USD'!E$10</f>
        <v>3.64121859448962</v>
      </c>
      <c r="F70" s="50">
        <f>'Financial Data - Old Segment'!F71/'Financial Data - Old Seg -USD'!F$10</f>
        <v>7.4738106937430651</v>
      </c>
      <c r="G70" s="50">
        <f>'Financial Data - Old Segment'!G71/'Financial Data - Old Seg -USD'!G$10</f>
        <v>36.363378000000004</v>
      </c>
      <c r="H70" s="50">
        <f>'Financial Data - Old Segment'!H71/'Financial Data - Old Seg -USD'!H$10</f>
        <v>44.640309000000002</v>
      </c>
      <c r="I70" s="50">
        <f>'Financial Data - Old Segment'!I71/'Financial Data - Old Seg -USD'!I$10</f>
        <v>44.609269999999995</v>
      </c>
      <c r="J70" s="50">
        <f>'Financial Data - Old Segment'!J71/'Financial Data - Old Seg -USD'!J$10</f>
        <v>69.905304000000001</v>
      </c>
      <c r="K70" s="50">
        <f>'Financial Data - Old Segment'!K71/'Financial Data - Old Seg -USD'!K$10</f>
        <v>97.081887000000009</v>
      </c>
      <c r="L70" s="50">
        <f>'Financial Data - Old Segment'!L71/'Financial Data - Old Seg -USD'!L$10</f>
        <v>118.742198</v>
      </c>
      <c r="M70" s="50">
        <f>'Financial Data - Old Segment'!M71/'Financial Data - Old Seg -USD'!M$10</f>
        <v>48.386844000000004</v>
      </c>
      <c r="N70" s="50">
        <f>'Financial Data - Old Segment'!N71/'Financial Data - Old Seg -USD'!N$10</f>
        <v>91.426335000000009</v>
      </c>
      <c r="O70" s="50">
        <f>'Financial Data - Old Segment'!O71/'Financial Data - Old Seg -USD'!O$10</f>
        <v>121.74777300000001</v>
      </c>
      <c r="P70" s="50">
        <f>'Financial Data - Old Segment'!P71/'Financial Data - Old Seg -USD'!P$10</f>
        <v>145.43938800000001</v>
      </c>
      <c r="Q70" s="50">
        <f>'Financial Data - Old Segment'!Q71/'Financial Data - Old Seg -USD'!Q$10</f>
        <v>51.399479999999997</v>
      </c>
      <c r="R70" s="50">
        <f>'Financial Data - Old Segment'!R71/'Financial Data - Old Seg -USD'!R$10</f>
        <v>83.635350000000003</v>
      </c>
      <c r="S70" s="50">
        <f>'Financial Data - Old Segment'!S71/'Financial Data - Old Seg -USD'!S$10</f>
        <v>110.355498</v>
      </c>
      <c r="T70" s="50">
        <f>'Financial Data - Old Segment'!T71/'Financial Data - Old Seg -USD'!T$10</f>
        <v>167.39190000000002</v>
      </c>
      <c r="U70" s="50">
        <f>'Financial Data - Old Segment'!U71/'Financial Data - Old Seg -USD'!U$10</f>
        <v>82.570340999999985</v>
      </c>
      <c r="V70" s="50">
        <f>'Financial Data - Old Segment'!V71/'Financial Data - Old Seg -USD'!V$10</f>
        <v>3.3169329426723415</v>
      </c>
      <c r="W70" s="50">
        <f>'Financial Data - Old Segment'!W71/'Financial Data - Old Seg -USD'!W$10</f>
        <v>3.22113</v>
      </c>
      <c r="X70" s="50">
        <f>'Financial Data - Old Segment'!X71/'Financial Data - Old Seg -USD'!X$10</f>
        <v>-33.625791999999997</v>
      </c>
      <c r="Y70" s="50">
        <f>'Financial Data - Old Segment'!Y71/'Financial Data - Old Seg -USD'!Y$10</f>
        <v>64.119931364580466</v>
      </c>
      <c r="Z70" s="50">
        <f>'Financial Data - Old Segment'!Z71/'Financial Data - Old Seg -USD'!Z$10</f>
        <v>85.070969531647393</v>
      </c>
      <c r="AA70" s="50">
        <f>'Financial Data - Old Segment'!AA71/'Financial Data - Old Seg -USD'!AA$10</f>
        <v>117.03210287723182</v>
      </c>
      <c r="AB70" s="50">
        <f>'Financial Data - Old Segment'!AB71/'Financial Data - Old Seg -USD'!AB$10</f>
        <v>26.526412074091013</v>
      </c>
      <c r="AC70" s="50">
        <f>'Financial Data - Old Segment'!AC71/'Financial Data - Old Seg -USD'!AC$10</f>
        <v>34.593626633022659</v>
      </c>
      <c r="AD70" s="50">
        <f>'Financial Data - Old Segment'!AD71/'Financial Data - Old Seg -USD'!AD$10</f>
        <v>44.911295000000003</v>
      </c>
      <c r="AE70" s="50">
        <f>'Financial Data - Old Segment'!AE71/'Financial Data - Old Seg -USD'!AE$10</f>
        <v>59.483472630073045</v>
      </c>
      <c r="AF70" s="50">
        <f>'Financial Data - Old Segment'!AF71/'Financial Data - Old Seg -USD'!AF$10</f>
        <v>70.979368173292642</v>
      </c>
      <c r="AG70" s="50">
        <f>'Financial Data - Old Segment'!AG71/'Financial Data - Old Seg -USD'!AG$10</f>
        <v>51.004794450678304</v>
      </c>
      <c r="AH70" s="50">
        <f>'Financial Data - Old Segment'!AH71/'Financial Data - Old Seg -USD'!AH$10</f>
        <v>76.762336000000005</v>
      </c>
      <c r="AI70" s="50">
        <f>'Financial Data - Old Segment'!AI71/'Financial Data - Old Seg -USD'!AI$10</f>
        <v>73.113378143232367</v>
      </c>
      <c r="AJ70" s="50">
        <f>'Financial Data - Old Segment'!AJ71/'Financial Data - Old Seg -USD'!AJ$10</f>
        <v>109.34031344223173</v>
      </c>
      <c r="AK70" s="50">
        <f>'Financial Data - Old Segment'!AK71/'Financial Data - Old Seg -USD'!AK$10</f>
        <v>43.598353552859599</v>
      </c>
      <c r="AL70" s="50">
        <f>'Financial Data - Old Segment'!AL71/'Financial Data - Old Seg -USD'!AL$10</f>
        <v>105.89723842006811</v>
      </c>
      <c r="AM70" s="50">
        <f>'Financial Data - Old Segment'!AM71/'Financial Data - Old Seg -USD'!AM$10</f>
        <v>143.61754229741771</v>
      </c>
      <c r="AN70" s="50">
        <f>'Financial Data - Old Segment'!AN71/'Financial Data - Old Seg -USD'!AN$10</f>
        <v>211.47702016737574</v>
      </c>
      <c r="AO70" s="50">
        <f>'Financial Data - Old Segment'!AO71/'Financial Data - Old Seg -USD'!AO$10</f>
        <v>63.290806951226003</v>
      </c>
      <c r="AP70" s="50">
        <f>'Financial Data - Old Segment'!AP71/'Financial Data - Old Seg -USD'!AP$10</f>
        <v>127.35976505139487</v>
      </c>
      <c r="AQ70" s="50">
        <f>'Financial Data - Old Segment'!AQ71/'Financial Data - Old Seg -USD'!AQ$10</f>
        <v>210.33116036505905</v>
      </c>
      <c r="AR70" s="50">
        <f>'Financial Data - Old Segment'!AR71/'Financial Data - Old Seg -USD'!AR$10</f>
        <v>290.16521397072518</v>
      </c>
      <c r="AS70" s="50">
        <f>'Financial Data - Old Segment'!AS71/'Financial Data - Old Seg -USD'!AS$10</f>
        <v>145.61244848869097</v>
      </c>
      <c r="AT70" s="50">
        <f>'Financial Data - Old Segment'!AT71/'Financial Data - Old Seg -USD'!AT$10</f>
        <v>209.86191433706423</v>
      </c>
      <c r="AU70" s="50">
        <f>'Financial Data - Old Segment'!AU71/'Financial Data - Old Seg -USD'!AU$10</f>
        <v>254.95207497603693</v>
      </c>
      <c r="AV70" s="50">
        <f>'Financial Data - Old Segment'!AV71/'Financial Data - Old Seg -USD'!AV$10</f>
        <v>249.48141486810601</v>
      </c>
    </row>
    <row r="73" spans="1:48" ht="20.100000000000001" customHeight="1" x14ac:dyDescent="0.2">
      <c r="B73" s="34" t="s">
        <v>164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x14ac:dyDescent="0.2">
      <c r="B74" s="36" t="s">
        <v>132</v>
      </c>
      <c r="C74" s="37" t="s">
        <v>31</v>
      </c>
      <c r="D74" s="37" t="s">
        <v>32</v>
      </c>
      <c r="E74" s="37" t="s">
        <v>33</v>
      </c>
      <c r="F74" s="37" t="s">
        <v>34</v>
      </c>
      <c r="G74" s="37" t="s">
        <v>35</v>
      </c>
      <c r="H74" s="37" t="s">
        <v>36</v>
      </c>
      <c r="I74" s="37" t="s">
        <v>37</v>
      </c>
      <c r="J74" s="37" t="s">
        <v>38</v>
      </c>
      <c r="K74" s="37" t="s">
        <v>39</v>
      </c>
      <c r="L74" s="37" t="s">
        <v>40</v>
      </c>
      <c r="M74" s="37" t="s">
        <v>41</v>
      </c>
      <c r="N74" s="37" t="s">
        <v>42</v>
      </c>
      <c r="O74" s="37" t="s">
        <v>43</v>
      </c>
      <c r="P74" s="37" t="s">
        <v>44</v>
      </c>
      <c r="Q74" s="37" t="s">
        <v>45</v>
      </c>
      <c r="R74" s="37" t="s">
        <v>46</v>
      </c>
      <c r="S74" s="37" t="s">
        <v>47</v>
      </c>
      <c r="T74" s="37" t="s">
        <v>48</v>
      </c>
      <c r="U74" s="37" t="s">
        <v>49</v>
      </c>
      <c r="V74" s="37" t="s">
        <v>50</v>
      </c>
      <c r="W74" s="37" t="s">
        <v>51</v>
      </c>
      <c r="X74" s="37" t="s">
        <v>52</v>
      </c>
      <c r="Y74" s="37" t="s">
        <v>53</v>
      </c>
      <c r="Z74" s="37" t="s">
        <v>54</v>
      </c>
      <c r="AA74" s="37" t="s">
        <v>55</v>
      </c>
      <c r="AB74" s="37" t="s">
        <v>56</v>
      </c>
      <c r="AC74" s="37" t="s">
        <v>57</v>
      </c>
      <c r="AD74" s="37" t="s">
        <v>58</v>
      </c>
      <c r="AE74" s="37" t="s">
        <v>59</v>
      </c>
      <c r="AF74" s="37" t="s">
        <v>60</v>
      </c>
      <c r="AG74" s="37" t="s">
        <v>61</v>
      </c>
      <c r="AH74" s="37" t="s">
        <v>62</v>
      </c>
      <c r="AI74" s="37" t="s">
        <v>63</v>
      </c>
      <c r="AJ74" s="37" t="s">
        <v>64</v>
      </c>
      <c r="AK74" s="37" t="s">
        <v>65</v>
      </c>
      <c r="AL74" s="37" t="s">
        <v>66</v>
      </c>
      <c r="AM74" s="37" t="s">
        <v>67</v>
      </c>
      <c r="AN74" s="37" t="s">
        <v>68</v>
      </c>
      <c r="AO74" s="37" t="s">
        <v>69</v>
      </c>
      <c r="AP74" s="37" t="s">
        <v>70</v>
      </c>
      <c r="AQ74" s="37" t="s">
        <v>71</v>
      </c>
      <c r="AR74" s="37" t="s">
        <v>184</v>
      </c>
      <c r="AS74" s="37" t="s">
        <v>186</v>
      </c>
      <c r="AT74" s="37" t="s">
        <v>189</v>
      </c>
      <c r="AU74" s="37" t="s">
        <v>193</v>
      </c>
      <c r="AV74" s="37" t="s">
        <v>194</v>
      </c>
    </row>
    <row r="75" spans="1:48" ht="15" customHeight="1" x14ac:dyDescent="0.2">
      <c r="B75" s="48" t="s">
        <v>11</v>
      </c>
      <c r="C75" s="11"/>
      <c r="D75" s="43">
        <f>+D47-C47</f>
        <v>277.42119999999989</v>
      </c>
      <c r="E75" s="43">
        <f>+E47</f>
        <v>195.41206457094296</v>
      </c>
      <c r="F75" s="43">
        <f t="shared" ref="F75:H78" si="48">+F47-E47</f>
        <v>207.55089533337065</v>
      </c>
      <c r="G75" s="43">
        <f t="shared" si="48"/>
        <v>238.81876409568645</v>
      </c>
      <c r="H75" s="43">
        <f t="shared" si="48"/>
        <v>225.79297699999995</v>
      </c>
      <c r="I75" s="43">
        <f>+I47</f>
        <v>155.79954000000001</v>
      </c>
      <c r="J75" s="43">
        <f t="shared" ref="J75:L78" si="49">+J47-I47</f>
        <v>183.83471999999998</v>
      </c>
      <c r="K75" s="43">
        <f t="shared" si="49"/>
        <v>174.17327800000004</v>
      </c>
      <c r="L75" s="43">
        <f t="shared" si="49"/>
        <v>227.33056299999998</v>
      </c>
      <c r="M75" s="43">
        <f>+M47</f>
        <v>183.99734100000001</v>
      </c>
      <c r="N75" s="43">
        <f t="shared" ref="N75:P78" si="50">+N47-M47</f>
        <v>264.82284900000002</v>
      </c>
      <c r="O75" s="43">
        <f t="shared" si="50"/>
        <v>266.83423200000004</v>
      </c>
      <c r="P75" s="43">
        <f t="shared" si="50"/>
        <v>399.97940199999994</v>
      </c>
      <c r="Q75" s="43">
        <f>+Q47</f>
        <v>293.87094000000002</v>
      </c>
      <c r="R75" s="43">
        <f t="shared" ref="R75:T78" si="51">+R47-Q47</f>
        <v>331.72147799999993</v>
      </c>
      <c r="S75" s="43">
        <f t="shared" si="51"/>
        <v>344.19832200000008</v>
      </c>
      <c r="T75" s="43">
        <f t="shared" si="51"/>
        <v>366.55459500000018</v>
      </c>
      <c r="U75" s="43">
        <f>+U47</f>
        <v>311.18346199999996</v>
      </c>
      <c r="V75" s="43">
        <f t="shared" ref="V75:X78" si="52">+V47-U47</f>
        <v>323.45637436464142</v>
      </c>
      <c r="W75" s="43">
        <f t="shared" si="52"/>
        <v>303.24584863535858</v>
      </c>
      <c r="X75" s="43">
        <f t="shared" si="52"/>
        <v>284.72709600000007</v>
      </c>
      <c r="Y75" s="43">
        <f>+Y47</f>
        <v>274.99322676781338</v>
      </c>
      <c r="Z75" s="43">
        <f t="shared" ref="Z75:AB78" si="53">+Z47-Y47</f>
        <v>313.10608434227078</v>
      </c>
      <c r="AA75" s="43">
        <f t="shared" si="53"/>
        <v>328.26668019345823</v>
      </c>
      <c r="AB75" s="43">
        <f t="shared" si="53"/>
        <v>349.58415733583547</v>
      </c>
      <c r="AC75" s="43">
        <f>+AC47</f>
        <v>197.38716372959985</v>
      </c>
      <c r="AD75" s="43">
        <f t="shared" ref="AD75:AF78" si="54">+AD47-AC47</f>
        <v>199.78489727040014</v>
      </c>
      <c r="AE75" s="43">
        <f t="shared" si="54"/>
        <v>167.92092898569388</v>
      </c>
      <c r="AF75" s="43">
        <f t="shared" si="54"/>
        <v>226.71312233088156</v>
      </c>
      <c r="AG75" s="43">
        <f>+AG47</f>
        <v>213.54007276683981</v>
      </c>
      <c r="AH75" s="43">
        <f t="shared" ref="AH75:AJ78" si="55">+AH47-AG47</f>
        <v>238.1240292331602</v>
      </c>
      <c r="AI75" s="43">
        <f t="shared" si="55"/>
        <v>222.14394331031343</v>
      </c>
      <c r="AJ75" s="43">
        <f t="shared" si="55"/>
        <v>261.8799703286636</v>
      </c>
      <c r="AK75" s="43">
        <f>+AK47</f>
        <v>246.69627383015589</v>
      </c>
      <c r="AL75" s="43">
        <f>+AL47-AK47</f>
        <v>289.66636232343581</v>
      </c>
      <c r="AM75" s="43">
        <f t="shared" ref="AM75:AV90" si="56">+AM47-AL47</f>
        <v>320.07297159351469</v>
      </c>
      <c r="AN75" s="43">
        <f t="shared" si="56"/>
        <v>477.50320416125032</v>
      </c>
      <c r="AO75" s="43">
        <f>+AO47</f>
        <v>390.69144747204336</v>
      </c>
      <c r="AP75" s="43">
        <f t="shared" ref="AP75:AR83" si="57">+AP47-AO47</f>
        <v>489.81491571934077</v>
      </c>
      <c r="AQ75" s="43">
        <f t="shared" si="57"/>
        <v>443.0527415456869</v>
      </c>
      <c r="AR75" s="43">
        <f>+AR47-AQ47</f>
        <v>562.22110685275038</v>
      </c>
      <c r="AS75" s="43">
        <f>+AS47</f>
        <v>621.70989576535146</v>
      </c>
      <c r="AT75" s="43">
        <f t="shared" ref="AT75:AV86" si="58">+AT47-AS47</f>
        <v>443.05370371504762</v>
      </c>
      <c r="AU75" s="43">
        <f t="shared" si="58"/>
        <v>398.93195236737347</v>
      </c>
      <c r="AV75" s="43">
        <f>+AV47-AU47</f>
        <v>394.65382747230456</v>
      </c>
    </row>
    <row r="76" spans="1:48" ht="15" customHeight="1" x14ac:dyDescent="0.2">
      <c r="B76" s="26" t="s">
        <v>24</v>
      </c>
      <c r="C76" s="13"/>
      <c r="D76" s="13">
        <f>+D48-C48</f>
        <v>190.95439999999996</v>
      </c>
      <c r="E76" s="13">
        <f>+E48</f>
        <v>182.66779949022927</v>
      </c>
      <c r="F76" s="13">
        <f t="shared" si="48"/>
        <v>112.54772291262177</v>
      </c>
      <c r="G76" s="13">
        <f t="shared" si="48"/>
        <v>146.88659959714897</v>
      </c>
      <c r="H76" s="13">
        <f t="shared" si="48"/>
        <v>129.16444100000001</v>
      </c>
      <c r="I76" s="13">
        <f>+I48</f>
        <v>227.70702</v>
      </c>
      <c r="J76" s="13">
        <f t="shared" si="49"/>
        <v>119.841048</v>
      </c>
      <c r="K76" s="13">
        <f t="shared" si="49"/>
        <v>158.99483900000007</v>
      </c>
      <c r="L76" s="13">
        <f t="shared" si="49"/>
        <v>178.55954999999989</v>
      </c>
      <c r="M76" s="13">
        <f>+M48</f>
        <v>236.20419900000002</v>
      </c>
      <c r="N76" s="13">
        <f t="shared" si="50"/>
        <v>165.304461</v>
      </c>
      <c r="O76" s="13">
        <f t="shared" si="50"/>
        <v>168.91364700000003</v>
      </c>
      <c r="P76" s="13">
        <f t="shared" si="50"/>
        <v>152.58502099999998</v>
      </c>
      <c r="Q76" s="13">
        <f>+Q48</f>
        <v>251.96919</v>
      </c>
      <c r="R76" s="13">
        <f t="shared" si="51"/>
        <v>192.97087199999996</v>
      </c>
      <c r="S76" s="13">
        <f t="shared" si="51"/>
        <v>149.75345500000009</v>
      </c>
      <c r="T76" s="13">
        <f t="shared" si="51"/>
        <v>199.86003500000004</v>
      </c>
      <c r="U76" s="13">
        <f>+U48</f>
        <v>267.93233099999998</v>
      </c>
      <c r="V76" s="13">
        <f t="shared" si="52"/>
        <v>154.42379703361149</v>
      </c>
      <c r="W76" s="13">
        <f t="shared" si="52"/>
        <v>141.34162196638857</v>
      </c>
      <c r="X76" s="13">
        <f t="shared" si="52"/>
        <v>183.95071899999994</v>
      </c>
      <c r="Y76" s="13">
        <f>+Y48</f>
        <v>232.09608958728421</v>
      </c>
      <c r="Z76" s="13">
        <f t="shared" si="53"/>
        <v>147.02453549940526</v>
      </c>
      <c r="AA76" s="13">
        <f t="shared" si="53"/>
        <v>150.5305914920869</v>
      </c>
      <c r="AB76" s="13">
        <f t="shared" si="53"/>
        <v>214.00302536039578</v>
      </c>
      <c r="AC76" s="13">
        <f>+AC48</f>
        <v>238.4925318464856</v>
      </c>
      <c r="AD76" s="13">
        <f t="shared" si="54"/>
        <v>143.44874215351442</v>
      </c>
      <c r="AE76" s="13">
        <f t="shared" si="54"/>
        <v>101.45606053806193</v>
      </c>
      <c r="AF76" s="13">
        <f t="shared" si="54"/>
        <v>126.73101675464522</v>
      </c>
      <c r="AG76" s="13">
        <f>+AG48</f>
        <v>248.56336495630558</v>
      </c>
      <c r="AH76" s="13">
        <f t="shared" si="55"/>
        <v>125.31033404369441</v>
      </c>
      <c r="AI76" s="13">
        <f t="shared" si="55"/>
        <v>101.56729182193129</v>
      </c>
      <c r="AJ76" s="13">
        <f t="shared" si="55"/>
        <v>137.85876730404124</v>
      </c>
      <c r="AK76" s="13">
        <f>+AK48</f>
        <v>183.05892547660304</v>
      </c>
      <c r="AL76" s="13">
        <f>+AL48-AK48</f>
        <v>134.9078475457313</v>
      </c>
      <c r="AM76" s="13">
        <f t="shared" si="56"/>
        <v>142.41612991622333</v>
      </c>
      <c r="AN76" s="13">
        <f t="shared" si="56"/>
        <v>154.36095767332404</v>
      </c>
      <c r="AO76" s="13">
        <f>+AO48</f>
        <v>195.22759489683443</v>
      </c>
      <c r="AP76" s="13">
        <f t="shared" si="57"/>
        <v>158.41851376689499</v>
      </c>
      <c r="AQ76" s="13">
        <f t="shared" si="57"/>
        <v>114.74567751619247</v>
      </c>
      <c r="AR76" s="13">
        <f t="shared" si="57"/>
        <v>145.37604471384822</v>
      </c>
      <c r="AS76" s="13">
        <f>+AS48</f>
        <v>231.47755878349426</v>
      </c>
      <c r="AT76" s="13">
        <f t="shared" si="58"/>
        <v>177.55637541228128</v>
      </c>
      <c r="AU76" s="13">
        <f t="shared" si="58"/>
        <v>126.19166841702457</v>
      </c>
      <c r="AV76" s="13">
        <f t="shared" si="58"/>
        <v>167.14497151613352</v>
      </c>
    </row>
    <row r="77" spans="1:48" ht="15" customHeight="1" x14ac:dyDescent="0.2">
      <c r="B77" s="58" t="s">
        <v>163</v>
      </c>
      <c r="C77" s="15"/>
      <c r="D77" s="15">
        <f>+D49-C49</f>
        <v>183.1952</v>
      </c>
      <c r="E77" s="15">
        <f>+E49</f>
        <v>175.9922320669983</v>
      </c>
      <c r="F77" s="15">
        <f t="shared" si="48"/>
        <v>104.27566894836664</v>
      </c>
      <c r="G77" s="15">
        <f t="shared" si="48"/>
        <v>136.95401498463508</v>
      </c>
      <c r="H77" s="15">
        <f t="shared" si="48"/>
        <v>119.75571399999995</v>
      </c>
      <c r="I77" s="15">
        <f>+I49</f>
        <v>219.05149</v>
      </c>
      <c r="J77" s="15">
        <f t="shared" si="49"/>
        <v>109.37154199999998</v>
      </c>
      <c r="K77" s="15">
        <f t="shared" si="49"/>
        <v>149.06135100000006</v>
      </c>
      <c r="L77" s="15">
        <f t="shared" si="49"/>
        <v>168.92679599999991</v>
      </c>
      <c r="M77" s="15">
        <f>+M49</f>
        <v>227.927502</v>
      </c>
      <c r="N77" s="15">
        <f t="shared" si="50"/>
        <v>155.67949800000002</v>
      </c>
      <c r="O77" s="15">
        <f t="shared" si="50"/>
        <v>160.24092000000002</v>
      </c>
      <c r="P77" s="15">
        <f t="shared" si="50"/>
        <v>145.64251200000001</v>
      </c>
      <c r="Q77" s="15">
        <f>+Q49</f>
        <v>244.70622</v>
      </c>
      <c r="R77" s="15">
        <f t="shared" si="51"/>
        <v>183.50677199999998</v>
      </c>
      <c r="S77" s="15">
        <f t="shared" si="51"/>
        <v>140.28502800000001</v>
      </c>
      <c r="T77" s="15">
        <f t="shared" si="51"/>
        <v>188.6713410000001</v>
      </c>
      <c r="U77" s="15">
        <f>+U49</f>
        <v>258.38337999999999</v>
      </c>
      <c r="V77" s="15">
        <f t="shared" si="52"/>
        <v>145.72961684891362</v>
      </c>
      <c r="W77" s="15">
        <f t="shared" si="52"/>
        <v>131.13143815108634</v>
      </c>
      <c r="X77" s="15">
        <f t="shared" si="52"/>
        <v>176.15122700000006</v>
      </c>
      <c r="Y77" s="15">
        <f>+Y49</f>
        <v>222.61356452632512</v>
      </c>
      <c r="Z77" s="15">
        <f t="shared" si="53"/>
        <v>140.78742488603822</v>
      </c>
      <c r="AA77" s="15">
        <f t="shared" si="53"/>
        <v>139.88331070790628</v>
      </c>
      <c r="AB77" s="15">
        <f t="shared" si="53"/>
        <v>201.4950275723898</v>
      </c>
      <c r="AC77" s="15">
        <f>+AC49</f>
        <v>227.50396809246664</v>
      </c>
      <c r="AD77" s="15">
        <f t="shared" si="54"/>
        <v>133.73905690753335</v>
      </c>
      <c r="AE77" s="15">
        <f t="shared" si="54"/>
        <v>89.777229498908298</v>
      </c>
      <c r="AF77" s="15">
        <f t="shared" si="54"/>
        <v>113.87254091133781</v>
      </c>
      <c r="AG77" s="15">
        <f>+AG49</f>
        <v>236.32221428814279</v>
      </c>
      <c r="AH77" s="15">
        <f t="shared" si="55"/>
        <v>114.24863271185723</v>
      </c>
      <c r="AI77" s="15">
        <f t="shared" si="55"/>
        <v>90.931763119757932</v>
      </c>
      <c r="AJ77" s="15">
        <f t="shared" si="55"/>
        <v>126.7356854966888</v>
      </c>
      <c r="AK77" s="15">
        <f>+AK49</f>
        <v>172.49783362218363</v>
      </c>
      <c r="AL77" s="15">
        <f>+AL49-AK49</f>
        <v>124.28949171613709</v>
      </c>
      <c r="AM77" s="15">
        <f t="shared" si="56"/>
        <v>125.63030600629213</v>
      </c>
      <c r="AN77" s="15">
        <f t="shared" si="56"/>
        <v>145.28712925354949</v>
      </c>
      <c r="AO77" s="15">
        <f>+AO49</f>
        <v>187.16858297894709</v>
      </c>
      <c r="AP77" s="15">
        <f t="shared" si="57"/>
        <v>131.72520067254544</v>
      </c>
      <c r="AQ77" s="15">
        <f t="shared" si="57"/>
        <v>99.837202876104243</v>
      </c>
      <c r="AR77" s="15">
        <f t="shared" si="57"/>
        <v>132.81038942735222</v>
      </c>
      <c r="AS77" s="15">
        <f>+AS49</f>
        <v>225.81066214175189</v>
      </c>
      <c r="AT77" s="15">
        <f t="shared" si="58"/>
        <v>157.3058743281664</v>
      </c>
      <c r="AU77" s="15">
        <f t="shared" si="58"/>
        <v>109.09120963395367</v>
      </c>
      <c r="AV77" s="15">
        <f t="shared" si="58"/>
        <v>148.04475777537891</v>
      </c>
    </row>
    <row r="78" spans="1:48" ht="15" customHeight="1" x14ac:dyDescent="0.2">
      <c r="B78" s="58" t="s">
        <v>7</v>
      </c>
      <c r="C78" s="15"/>
      <c r="D78" s="15">
        <f>+D50-C50</f>
        <v>7.7591999999999928</v>
      </c>
      <c r="E78" s="15">
        <f>+E50</f>
        <v>6.6755674232309703</v>
      </c>
      <c r="F78" s="15">
        <f t="shared" si="48"/>
        <v>8.2720539642551607</v>
      </c>
      <c r="G78" s="15">
        <f t="shared" si="48"/>
        <v>9.932584612513871</v>
      </c>
      <c r="H78" s="15">
        <f t="shared" si="48"/>
        <v>9.408726999999999</v>
      </c>
      <c r="I78" s="15">
        <f>+I50</f>
        <v>8.6555300000000006</v>
      </c>
      <c r="J78" s="15">
        <f t="shared" si="49"/>
        <v>10.469505999999997</v>
      </c>
      <c r="K78" s="15">
        <f t="shared" si="49"/>
        <v>9.9334880000000041</v>
      </c>
      <c r="L78" s="15">
        <f t="shared" si="49"/>
        <v>9.6327539999999949</v>
      </c>
      <c r="M78" s="15">
        <f>+M50</f>
        <v>8.2766970000000004</v>
      </c>
      <c r="N78" s="15">
        <f t="shared" si="50"/>
        <v>9.6249629999999993</v>
      </c>
      <c r="O78" s="15">
        <f t="shared" si="50"/>
        <v>8.6727270000000019</v>
      </c>
      <c r="P78" s="15">
        <f t="shared" si="50"/>
        <v>6.9425090000000012</v>
      </c>
      <c r="Q78" s="15">
        <f>+Q50</f>
        <v>7.2629700000000001</v>
      </c>
      <c r="R78" s="15">
        <f t="shared" si="51"/>
        <v>9.4640999999999984</v>
      </c>
      <c r="S78" s="15">
        <f t="shared" si="51"/>
        <v>9.4684270000000019</v>
      </c>
      <c r="T78" s="15">
        <f t="shared" si="51"/>
        <v>11.188694000000009</v>
      </c>
      <c r="U78" s="15">
        <f>+U50</f>
        <v>9.5489509999999989</v>
      </c>
      <c r="V78" s="15">
        <f t="shared" si="52"/>
        <v>8.6941801846978812</v>
      </c>
      <c r="W78" s="15">
        <f t="shared" si="52"/>
        <v>10.21018381530212</v>
      </c>
      <c r="X78" s="15">
        <f t="shared" si="52"/>
        <v>7.7994919999999972</v>
      </c>
      <c r="Y78" s="15">
        <f>+Y50</f>
        <v>9.4825250609590821</v>
      </c>
      <c r="Z78" s="15">
        <f t="shared" si="53"/>
        <v>6.2371106133670668</v>
      </c>
      <c r="AA78" s="15">
        <f t="shared" si="53"/>
        <v>10.647280784180623</v>
      </c>
      <c r="AB78" s="15">
        <f t="shared" si="53"/>
        <v>12.507997788005916</v>
      </c>
      <c r="AC78" s="15">
        <f>+AC50</f>
        <v>10.988563754018962</v>
      </c>
      <c r="AD78" s="15">
        <f t="shared" si="54"/>
        <v>9.7096852459810385</v>
      </c>
      <c r="AE78" s="15">
        <f t="shared" si="54"/>
        <v>11.678831039153682</v>
      </c>
      <c r="AF78" s="15">
        <f t="shared" si="54"/>
        <v>12.858475843307431</v>
      </c>
      <c r="AG78" s="15">
        <f>+AG50</f>
        <v>12.241150668162792</v>
      </c>
      <c r="AH78" s="15">
        <f t="shared" si="55"/>
        <v>11.061701331837209</v>
      </c>
      <c r="AI78" s="15">
        <f t="shared" si="55"/>
        <v>10.475168403289054</v>
      </c>
      <c r="AJ78" s="15">
        <f t="shared" si="55"/>
        <v>11.614776389395033</v>
      </c>
      <c r="AK78" s="15">
        <f>+AK50</f>
        <v>10.561091854419407</v>
      </c>
      <c r="AL78" s="15">
        <f>+AL50-AK50</f>
        <v>10.618355829594213</v>
      </c>
      <c r="AM78" s="15">
        <f t="shared" si="56"/>
        <v>13.326340383662266</v>
      </c>
      <c r="AN78" s="15">
        <f t="shared" si="56"/>
        <v>12.414228395487847</v>
      </c>
      <c r="AO78" s="15">
        <f>+AO50</f>
        <v>8.1377644773455255</v>
      </c>
      <c r="AP78" s="15">
        <f t="shared" si="57"/>
        <v>8.5044283763010515</v>
      </c>
      <c r="AQ78" s="15">
        <f t="shared" si="57"/>
        <v>5.522083547917962</v>
      </c>
      <c r="AR78" s="15">
        <f t="shared" si="57"/>
        <v>7.441735896317482</v>
      </c>
      <c r="AS78" s="15">
        <f>+AS50</f>
        <v>4.288724384195123</v>
      </c>
      <c r="AT78" s="15">
        <f t="shared" si="58"/>
        <v>7.2777293410927024</v>
      </c>
      <c r="AU78" s="15">
        <f t="shared" si="58"/>
        <v>5.240142178010089</v>
      </c>
      <c r="AV78" s="15">
        <f t="shared" si="58"/>
        <v>8.7611851659643776</v>
      </c>
    </row>
    <row r="79" spans="1:48" ht="15" customHeight="1" x14ac:dyDescent="0.2">
      <c r="B79" s="58" t="s">
        <v>185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>
        <f t="shared" si="56"/>
        <v>0.86696467611716299</v>
      </c>
      <c r="AN79" s="15">
        <f t="shared" si="56"/>
        <v>5.7115837829774936</v>
      </c>
      <c r="AO79" s="15">
        <f>+AO51</f>
        <v>0.26250853152727499</v>
      </c>
      <c r="AP79" s="15">
        <f t="shared" si="57"/>
        <v>17.848113103323413</v>
      </c>
      <c r="AQ79" s="15">
        <f>+AQ51-AP51</f>
        <v>9.4860754533718286</v>
      </c>
      <c r="AR79" s="15">
        <f t="shared" si="57"/>
        <v>5.1148409751716066</v>
      </c>
      <c r="AS79" s="15">
        <f>+AS51</f>
        <v>1.4917302205896079</v>
      </c>
      <c r="AT79" s="15">
        <f t="shared" si="58"/>
        <v>12.921850575538297</v>
      </c>
      <c r="AU79" s="15">
        <f t="shared" si="58"/>
        <v>11.678932250128563</v>
      </c>
      <c r="AV79" s="15">
        <f t="shared" si="58"/>
        <v>10.407698549173144</v>
      </c>
    </row>
    <row r="80" spans="1:48" ht="15" customHeight="1" x14ac:dyDescent="0.2">
      <c r="B80" s="26" t="s">
        <v>149</v>
      </c>
      <c r="C80" s="13"/>
      <c r="D80" s="13">
        <f t="shared" ref="D80:D86" si="59">+D52-C52</f>
        <v>3.3835999999999977</v>
      </c>
      <c r="E80" s="13">
        <f t="shared" ref="E80:E86" si="60">+E52</f>
        <v>3.64121859448962</v>
      </c>
      <c r="F80" s="13">
        <f t="shared" ref="F80:H86" si="61">+F52-E52</f>
        <v>26.254024180482642</v>
      </c>
      <c r="G80" s="13">
        <f t="shared" si="61"/>
        <v>3.9163192250277419</v>
      </c>
      <c r="H80" s="13">
        <f t="shared" si="61"/>
        <v>6.946981000000001</v>
      </c>
      <c r="I80" s="13">
        <f t="shared" ref="I80:I86" si="62">+I52</f>
        <v>6.6581000000000001</v>
      </c>
      <c r="J80" s="13">
        <f t="shared" ref="J80:L86" si="63">+J52-I52</f>
        <v>10.488484</v>
      </c>
      <c r="K80" s="13">
        <f t="shared" si="63"/>
        <v>9.9306770000000029</v>
      </c>
      <c r="L80" s="13">
        <f t="shared" si="63"/>
        <v>8.9456529999999965</v>
      </c>
      <c r="M80" s="13">
        <f t="shared" ref="M80:M86" si="64">+M52</f>
        <v>6.3666900000000002</v>
      </c>
      <c r="N80" s="13">
        <f t="shared" ref="N80:P86" si="65">+N52-M52</f>
        <v>8.9775900000000011</v>
      </c>
      <c r="O80" s="13">
        <f t="shared" si="65"/>
        <v>11.848116000000001</v>
      </c>
      <c r="P80" s="13">
        <f t="shared" si="65"/>
        <v>7.5215320000000006</v>
      </c>
      <c r="Q80" s="13">
        <f t="shared" ref="Q80:Q86" si="66">+Q52</f>
        <v>3.3521399999999999</v>
      </c>
      <c r="R80" s="13">
        <f t="shared" ref="R80:T86" si="67">+R52-Q52</f>
        <v>2.7811189999999999</v>
      </c>
      <c r="S80" s="13">
        <f t="shared" si="67"/>
        <v>26.750450000000004</v>
      </c>
      <c r="T80" s="13">
        <f t="shared" si="67"/>
        <v>1.1526440000000022</v>
      </c>
      <c r="U80" s="13">
        <f t="shared" ref="U80:U86" si="68">+U52</f>
        <v>5.6170299999999997</v>
      </c>
      <c r="V80" s="13">
        <f t="shared" ref="V80:X86" si="69">+V52-U52</f>
        <v>3.7809466709049673</v>
      </c>
      <c r="W80" s="13">
        <f t="shared" si="69"/>
        <v>2.9496883290950322</v>
      </c>
      <c r="X80" s="13">
        <f t="shared" si="69"/>
        <v>3.4144249999999996</v>
      </c>
      <c r="Y80" s="13">
        <f t="shared" ref="Y80:Y86" si="70">+Y52</f>
        <v>3.1608416869863607</v>
      </c>
      <c r="Z80" s="13">
        <f t="shared" ref="Z80:AB86" si="71">+Z52-Y52</f>
        <v>2.8496072473148137</v>
      </c>
      <c r="AA80" s="13">
        <f t="shared" si="71"/>
        <v>3.2411007002626055</v>
      </c>
      <c r="AB80" s="13">
        <f t="shared" si="71"/>
        <v>2.6396006055459846</v>
      </c>
      <c r="AC80" s="13">
        <f t="shared" ref="AC80:AC86" si="72">+AC52</f>
        <v>2.8488868991901009</v>
      </c>
      <c r="AD80" s="13">
        <f t="shared" ref="AD80:AF86" si="73">+AD52-AC52</f>
        <v>2.6185751008098994</v>
      </c>
      <c r="AE80" s="13">
        <f t="shared" si="73"/>
        <v>2.43856917235148</v>
      </c>
      <c r="AF80" s="13">
        <f t="shared" si="73"/>
        <v>2.3914937439811306</v>
      </c>
      <c r="AG80" s="13">
        <f t="shared" ref="AG80:AG86" si="74">+AG52</f>
        <v>2.3802237410316542</v>
      </c>
      <c r="AH80" s="13">
        <f t="shared" ref="AH80:AJ86" si="75">+AH52-AG52</f>
        <v>2.4174222589683461</v>
      </c>
      <c r="AI80" s="13">
        <f t="shared" si="75"/>
        <v>3.2510762354907961</v>
      </c>
      <c r="AJ80" s="13">
        <f t="shared" si="75"/>
        <v>2.8853091087323772</v>
      </c>
      <c r="AK80" s="13">
        <f t="shared" ref="AK80:AK86" si="76">+AK52</f>
        <v>11.373483535528592</v>
      </c>
      <c r="AL80" s="13">
        <f t="shared" ref="AL80:AL86" si="77">+AL52-AK52</f>
        <v>49.689339657341847</v>
      </c>
      <c r="AM80" s="13">
        <f t="shared" si="56"/>
        <v>25.960496041323722</v>
      </c>
      <c r="AN80" s="13">
        <f t="shared" si="56"/>
        <v>9.2159454111619823</v>
      </c>
      <c r="AO80" s="13">
        <f t="shared" ref="AO80:AO95" si="78">+AO52</f>
        <v>6.3789573161127828</v>
      </c>
      <c r="AP80" s="13">
        <f>+AP52-AO52</f>
        <v>3.4668576618607725</v>
      </c>
      <c r="AQ80" s="13">
        <f t="shared" si="57"/>
        <v>7.8627899763941134</v>
      </c>
      <c r="AR80" s="13">
        <f t="shared" si="57"/>
        <v>10.13036318293797</v>
      </c>
      <c r="AS80" s="13">
        <f t="shared" ref="AS80:AS86" si="79">+AS52</f>
        <v>8.5224412165060031</v>
      </c>
      <c r="AT80" s="13">
        <f t="shared" si="58"/>
        <v>3.353993468619537</v>
      </c>
      <c r="AU80" s="13">
        <f t="shared" si="58"/>
        <v>6.4209844635839932</v>
      </c>
      <c r="AV80" s="93"/>
    </row>
    <row r="81" spans="2:48" ht="15" customHeight="1" x14ac:dyDescent="0.2">
      <c r="B81" s="26" t="s">
        <v>148</v>
      </c>
      <c r="C81" s="19"/>
      <c r="D81" s="19">
        <f t="shared" si="59"/>
        <v>10.246399999999994</v>
      </c>
      <c r="E81" s="19">
        <f t="shared" si="60"/>
        <v>9.1030464862240503</v>
      </c>
      <c r="F81" s="19">
        <f t="shared" si="61"/>
        <v>12.0727504793813</v>
      </c>
      <c r="G81" s="19">
        <f t="shared" si="61"/>
        <v>10.72190303439465</v>
      </c>
      <c r="H81" s="19">
        <f t="shared" si="61"/>
        <v>8.8608430000000027</v>
      </c>
      <c r="I81" s="19">
        <f t="shared" si="62"/>
        <v>10.65296</v>
      </c>
      <c r="J81" s="19">
        <f t="shared" si="63"/>
        <v>13.088463999999998</v>
      </c>
      <c r="K81" s="19">
        <f t="shared" si="63"/>
        <v>11.260889000000002</v>
      </c>
      <c r="L81" s="19">
        <f t="shared" si="63"/>
        <v>12.361148</v>
      </c>
      <c r="M81" s="19">
        <f t="shared" si="64"/>
        <v>13.370049000000002</v>
      </c>
      <c r="N81" s="19">
        <f t="shared" si="65"/>
        <v>12.203751</v>
      </c>
      <c r="O81" s="19">
        <f t="shared" si="65"/>
        <v>12.742757999999998</v>
      </c>
      <c r="P81" s="19">
        <f t="shared" si="65"/>
        <v>10.163238</v>
      </c>
      <c r="Q81" s="19">
        <f t="shared" si="66"/>
        <v>10.056419999999999</v>
      </c>
      <c r="R81" s="19">
        <f t="shared" si="67"/>
        <v>11.688770999999999</v>
      </c>
      <c r="S81" s="19">
        <f t="shared" si="67"/>
        <v>10.581167000000001</v>
      </c>
      <c r="T81" s="19">
        <f t="shared" si="67"/>
        <v>5.6158060000000063</v>
      </c>
      <c r="U81" s="19">
        <f t="shared" si="68"/>
        <v>10.110653999999998</v>
      </c>
      <c r="V81" s="19">
        <f t="shared" si="69"/>
        <v>9.7909436560340506</v>
      </c>
      <c r="W81" s="19">
        <f t="shared" si="69"/>
        <v>6.9411523439659497</v>
      </c>
      <c r="X81" s="19">
        <f t="shared" si="69"/>
        <v>8.3592509999999969</v>
      </c>
      <c r="Y81" s="19">
        <f t="shared" si="70"/>
        <v>8.5794274361058367</v>
      </c>
      <c r="Z81" s="19">
        <f t="shared" si="71"/>
        <v>8.0648926896512609</v>
      </c>
      <c r="AA81" s="19">
        <f t="shared" si="71"/>
        <v>6.9471314423805417</v>
      </c>
      <c r="AB81" s="19">
        <f t="shared" si="71"/>
        <v>1.56290470901763</v>
      </c>
      <c r="AC81" s="19">
        <f t="shared" si="72"/>
        <v>5.2907899556387594</v>
      </c>
      <c r="AD81" s="19">
        <f t="shared" si="73"/>
        <v>6.8157330443612398</v>
      </c>
      <c r="AE81" s="19">
        <f t="shared" si="73"/>
        <v>3.3290616698290822</v>
      </c>
      <c r="AF81" s="19">
        <f t="shared" si="73"/>
        <v>2.2173151867411089</v>
      </c>
      <c r="AG81" s="19">
        <f t="shared" si="74"/>
        <v>2.3802237410316542</v>
      </c>
      <c r="AH81" s="19">
        <f t="shared" si="75"/>
        <v>2.4174222589683461</v>
      </c>
      <c r="AI81" s="19">
        <f t="shared" si="75"/>
        <v>2.6980038004025984</v>
      </c>
      <c r="AJ81" s="19">
        <f t="shared" si="75"/>
        <v>2.4443786943457413</v>
      </c>
      <c r="AK81" s="19">
        <f t="shared" si="76"/>
        <v>2.1663778162911602</v>
      </c>
      <c r="AL81" s="19">
        <f t="shared" si="77"/>
        <v>2.5096041399196394</v>
      </c>
      <c r="AM81" s="19">
        <f t="shared" si="56"/>
        <v>2.4369410179655171</v>
      </c>
      <c r="AN81" s="19">
        <f t="shared" si="56"/>
        <v>2.3300733216118692</v>
      </c>
      <c r="AO81" s="19">
        <f t="shared" si="78"/>
        <v>2.5200819026618397</v>
      </c>
      <c r="AP81" s="19">
        <f>+AP53-AO53</f>
        <v>2.2598985182877387</v>
      </c>
      <c r="AQ81" s="19">
        <f t="shared" si="57"/>
        <v>1.8297544769209138</v>
      </c>
      <c r="AR81" s="19">
        <f t="shared" si="57"/>
        <v>8.732390523963419</v>
      </c>
      <c r="AS81" s="19">
        <f t="shared" si="79"/>
        <v>2.222491562400942</v>
      </c>
      <c r="AT81" s="19">
        <f t="shared" si="58"/>
        <v>1.9739957945754081</v>
      </c>
      <c r="AU81" s="19">
        <f t="shared" si="58"/>
        <v>2.0680232752789518</v>
      </c>
      <c r="AV81" s="19">
        <f t="shared" si="58"/>
        <v>8.0180045320838431</v>
      </c>
    </row>
    <row r="82" spans="2:48" ht="15" customHeight="1" x14ac:dyDescent="0.2">
      <c r="B82" s="49" t="s">
        <v>133</v>
      </c>
      <c r="C82" s="50"/>
      <c r="D82" s="50">
        <f t="shared" si="59"/>
        <v>481.2349999999999</v>
      </c>
      <c r="E82" s="50">
        <f t="shared" si="60"/>
        <v>390.82412914188592</v>
      </c>
      <c r="F82" s="50">
        <f t="shared" si="61"/>
        <v>358.42539290585637</v>
      </c>
      <c r="G82" s="50">
        <f t="shared" si="61"/>
        <v>400.34358595225774</v>
      </c>
      <c r="H82" s="50">
        <f t="shared" si="61"/>
        <v>370.76524199999994</v>
      </c>
      <c r="I82" s="50">
        <f t="shared" si="62"/>
        <v>400.81761999999998</v>
      </c>
      <c r="J82" s="50">
        <f t="shared" si="63"/>
        <v>326.593232</v>
      </c>
      <c r="K82" s="50">
        <f t="shared" si="63"/>
        <v>355.01916700000015</v>
      </c>
      <c r="L82" s="50">
        <f t="shared" si="63"/>
        <v>426.52982299999985</v>
      </c>
      <c r="M82" s="50">
        <f t="shared" si="64"/>
        <v>439.30161000000004</v>
      </c>
      <c r="N82" s="50">
        <f t="shared" si="65"/>
        <v>451.30597499999993</v>
      </c>
      <c r="O82" s="50">
        <f t="shared" si="65"/>
        <v>461.59610700000007</v>
      </c>
      <c r="P82" s="50">
        <f t="shared" si="65"/>
        <v>569.63118400000008</v>
      </c>
      <c r="Q82" s="50">
        <f t="shared" si="66"/>
        <v>558.69000000000005</v>
      </c>
      <c r="R82" s="50">
        <f t="shared" si="67"/>
        <v>540.27849900000001</v>
      </c>
      <c r="S82" s="50">
        <f t="shared" si="67"/>
        <v>530.72582499999999</v>
      </c>
      <c r="T82" s="50">
        <f t="shared" si="67"/>
        <v>573.74105300000019</v>
      </c>
      <c r="U82" s="50">
        <f t="shared" si="68"/>
        <v>594.84347699999989</v>
      </c>
      <c r="V82" s="50">
        <f t="shared" si="69"/>
        <v>490.89923956808002</v>
      </c>
      <c r="W82" s="50">
        <f t="shared" si="69"/>
        <v>455.56798843192018</v>
      </c>
      <c r="X82" s="50">
        <f t="shared" si="69"/>
        <v>479.38923299999988</v>
      </c>
      <c r="Y82" s="50">
        <f t="shared" si="70"/>
        <v>518.82958547818976</v>
      </c>
      <c r="Z82" s="50">
        <f t="shared" si="71"/>
        <v>471.50746200435765</v>
      </c>
      <c r="AA82" s="50">
        <f t="shared" si="71"/>
        <v>488.52316160247278</v>
      </c>
      <c r="AB82" s="50">
        <f t="shared" si="71"/>
        <v>567.78968801079486</v>
      </c>
      <c r="AC82" s="50">
        <f t="shared" si="72"/>
        <v>444.0193724309143</v>
      </c>
      <c r="AD82" s="50">
        <f t="shared" si="73"/>
        <v>352.6679475690857</v>
      </c>
      <c r="AE82" s="50">
        <f t="shared" si="73"/>
        <v>275.14462036593636</v>
      </c>
      <c r="AF82" s="50">
        <f t="shared" si="73"/>
        <v>358.05294801624905</v>
      </c>
      <c r="AG82" s="50">
        <f t="shared" si="74"/>
        <v>466.8638852052087</v>
      </c>
      <c r="AH82" s="50">
        <f t="shared" si="75"/>
        <v>368.61189679479128</v>
      </c>
      <c r="AI82" s="50">
        <f t="shared" si="75"/>
        <v>329.31762616813808</v>
      </c>
      <c r="AJ82" s="50">
        <f t="shared" si="75"/>
        <v>404.73709115262477</v>
      </c>
      <c r="AK82" s="50">
        <f t="shared" si="76"/>
        <v>443.29506065857868</v>
      </c>
      <c r="AL82" s="50">
        <f t="shared" si="77"/>
        <v>476.49809590429857</v>
      </c>
      <c r="AM82" s="50">
        <f t="shared" si="56"/>
        <v>491.16159633115728</v>
      </c>
      <c r="AN82" s="50">
        <f t="shared" si="56"/>
        <v>643.41018056734833</v>
      </c>
      <c r="AO82" s="50">
        <f t="shared" si="78"/>
        <v>594.81808158765239</v>
      </c>
      <c r="AP82" s="50">
        <f>+AP54-AO54</f>
        <v>653.9601856663844</v>
      </c>
      <c r="AQ82" s="50">
        <f t="shared" si="57"/>
        <v>567.49096351519415</v>
      </c>
      <c r="AR82" s="50">
        <f t="shared" si="57"/>
        <v>698.6209371361947</v>
      </c>
      <c r="AS82" s="50">
        <f t="shared" si="79"/>
        <v>855.40994611124665</v>
      </c>
      <c r="AT82" s="50">
        <f t="shared" si="58"/>
        <v>622.5840749219044</v>
      </c>
      <c r="AU82" s="50">
        <f t="shared" si="58"/>
        <v>527.19164405967717</v>
      </c>
      <c r="AV82" s="50">
        <f t="shared" si="58"/>
        <v>569.81680352052149</v>
      </c>
    </row>
    <row r="83" spans="2:48" ht="15" customHeight="1" x14ac:dyDescent="0.2">
      <c r="B83" s="48" t="s">
        <v>11</v>
      </c>
      <c r="C83" s="11"/>
      <c r="D83" s="11">
        <f t="shared" si="59"/>
        <v>3.4669999999999987</v>
      </c>
      <c r="E83" s="11">
        <f t="shared" si="60"/>
        <v>30.950358053161771</v>
      </c>
      <c r="F83" s="11">
        <f t="shared" si="61"/>
        <v>17.006593898356229</v>
      </c>
      <c r="G83" s="11">
        <f t="shared" si="61"/>
        <v>24.769804048482008</v>
      </c>
      <c r="H83" s="11">
        <f t="shared" si="61"/>
        <v>24.317393999999993</v>
      </c>
      <c r="I83" s="11">
        <f t="shared" si="62"/>
        <v>25.96659</v>
      </c>
      <c r="J83" s="11">
        <f t="shared" si="63"/>
        <v>24.154194</v>
      </c>
      <c r="K83" s="11">
        <f t="shared" si="63"/>
        <v>15.921316000000004</v>
      </c>
      <c r="L83" s="11">
        <f t="shared" si="63"/>
        <v>32.020276999999993</v>
      </c>
      <c r="M83" s="11">
        <f t="shared" si="64"/>
        <v>7.640028</v>
      </c>
      <c r="N83" s="11">
        <f t="shared" si="65"/>
        <v>29.441982000000003</v>
      </c>
      <c r="O83" s="11">
        <f t="shared" si="65"/>
        <v>26.572917000000004</v>
      </c>
      <c r="P83" s="11">
        <f t="shared" si="65"/>
        <v>39.888341000000004</v>
      </c>
      <c r="Q83" s="11">
        <f t="shared" si="66"/>
        <v>31.845330000000001</v>
      </c>
      <c r="R83" s="11">
        <f t="shared" si="67"/>
        <v>22.796431999999999</v>
      </c>
      <c r="S83" s="11">
        <f t="shared" si="67"/>
        <v>27.288835000000006</v>
      </c>
      <c r="T83" s="11">
        <f t="shared" si="67"/>
        <v>-2.6984309999999994</v>
      </c>
      <c r="U83" s="11">
        <f t="shared" si="68"/>
        <v>32.017070999999994</v>
      </c>
      <c r="V83" s="11">
        <f t="shared" si="69"/>
        <v>-60.211001012714902</v>
      </c>
      <c r="W83" s="11">
        <f t="shared" si="69"/>
        <v>13.698845012714905</v>
      </c>
      <c r="X83" s="11">
        <f t="shared" si="69"/>
        <v>-38.045214999999999</v>
      </c>
      <c r="Y83" s="11">
        <f t="shared" si="70"/>
        <v>23.480538246184395</v>
      </c>
      <c r="Z83" s="11">
        <f t="shared" si="71"/>
        <v>26.452422131086898</v>
      </c>
      <c r="AA83" s="11">
        <f t="shared" si="71"/>
        <v>18.065929436772485</v>
      </c>
      <c r="AB83" s="11">
        <f t="shared" si="71"/>
        <v>-85.378263241896505</v>
      </c>
      <c r="AC83" s="11">
        <f t="shared" si="72"/>
        <v>7.3257091693459744</v>
      </c>
      <c r="AD83" s="11">
        <f t="shared" si="73"/>
        <v>23.526397830654027</v>
      </c>
      <c r="AE83" s="11">
        <f t="shared" si="73"/>
        <v>20.725334457721562</v>
      </c>
      <c r="AF83" s="11">
        <f t="shared" si="73"/>
        <v>8.736633052226594</v>
      </c>
      <c r="AG83" s="11">
        <f t="shared" si="74"/>
        <v>24.142269373321064</v>
      </c>
      <c r="AH83" s="11">
        <f t="shared" si="75"/>
        <v>21.092678626678939</v>
      </c>
      <c r="AI83" s="11">
        <f t="shared" si="75"/>
        <v>2.1907574147189735</v>
      </c>
      <c r="AJ83" s="11">
        <f t="shared" si="75"/>
        <v>39.052542489591588</v>
      </c>
      <c r="AK83" s="11">
        <f t="shared" si="76"/>
        <v>17.331022530329282</v>
      </c>
      <c r="AL83" s="11">
        <f t="shared" si="77"/>
        <v>46.757436045971673</v>
      </c>
      <c r="AM83" s="11">
        <f t="shared" si="56"/>
        <v>30.802458609807729</v>
      </c>
      <c r="AN83" s="11">
        <f t="shared" si="56"/>
        <v>55.472644344965744</v>
      </c>
      <c r="AO83" s="11">
        <f t="shared" si="78"/>
        <v>42.526382107418549</v>
      </c>
      <c r="AP83" s="11">
        <f>+AP55-AO55</f>
        <v>41.418796551416399</v>
      </c>
      <c r="AQ83" s="11">
        <f t="shared" si="57"/>
        <v>40.078723992186369</v>
      </c>
      <c r="AR83" s="11">
        <f t="shared" si="57"/>
        <v>73.853366970725588</v>
      </c>
      <c r="AS83" s="11">
        <f t="shared" si="79"/>
        <v>149.72067351619475</v>
      </c>
      <c r="AT83" s="11">
        <f t="shared" si="58"/>
        <v>41.839374173183643</v>
      </c>
      <c r="AU83" s="11">
        <f t="shared" si="58"/>
        <v>56.054706117997966</v>
      </c>
      <c r="AV83" s="11">
        <f t="shared" si="58"/>
        <v>7.7093398588676223</v>
      </c>
    </row>
    <row r="84" spans="2:48" ht="15" customHeight="1" x14ac:dyDescent="0.2">
      <c r="B84" s="26" t="s">
        <v>24</v>
      </c>
      <c r="C84" s="13"/>
      <c r="D84" s="13">
        <f t="shared" si="59"/>
        <v>-67.215400000000031</v>
      </c>
      <c r="E84" s="13">
        <f t="shared" si="60"/>
        <v>25.488530161427342</v>
      </c>
      <c r="F84" s="13">
        <f t="shared" si="61"/>
        <v>-23.620077487991576</v>
      </c>
      <c r="G84" s="13">
        <f t="shared" si="61"/>
        <v>15.356305326564236</v>
      </c>
      <c r="H84" s="13">
        <f t="shared" si="61"/>
        <v>9.9476039999999983</v>
      </c>
      <c r="I84" s="13">
        <f t="shared" si="62"/>
        <v>45.275079999999996</v>
      </c>
      <c r="J84" s="13">
        <f t="shared" si="63"/>
        <v>17.375900000000001</v>
      </c>
      <c r="K84" s="13">
        <f t="shared" si="63"/>
        <v>14.618277000000013</v>
      </c>
      <c r="L84" s="13">
        <f t="shared" si="63"/>
        <v>20.793119999999988</v>
      </c>
      <c r="M84" s="13">
        <f t="shared" si="64"/>
        <v>52.206858000000004</v>
      </c>
      <c r="N84" s="13">
        <f t="shared" si="65"/>
        <v>32.826027000000003</v>
      </c>
      <c r="O84" s="13">
        <f t="shared" si="65"/>
        <v>26.208735000000004</v>
      </c>
      <c r="P84" s="13">
        <f t="shared" si="65"/>
        <v>3.0749359999999939</v>
      </c>
      <c r="Q84" s="13">
        <f t="shared" si="66"/>
        <v>22.906289999999998</v>
      </c>
      <c r="R84" s="13">
        <f t="shared" si="67"/>
        <v>27.832489000000002</v>
      </c>
      <c r="S84" s="13">
        <f t="shared" si="67"/>
        <v>8.8977780000000024</v>
      </c>
      <c r="T84" s="13">
        <f t="shared" si="67"/>
        <v>16.805744000000011</v>
      </c>
      <c r="U84" s="13">
        <f t="shared" si="68"/>
        <v>35.387288999999996</v>
      </c>
      <c r="V84" s="13">
        <f t="shared" si="69"/>
        <v>5.5215506262922176</v>
      </c>
      <c r="W84" s="13">
        <f t="shared" si="69"/>
        <v>7.4081103737077854</v>
      </c>
      <c r="X84" s="13">
        <f t="shared" si="69"/>
        <v>13.155200999999998</v>
      </c>
      <c r="Y84" s="13">
        <f t="shared" si="70"/>
        <v>53.282759866341515</v>
      </c>
      <c r="Z84" s="13">
        <f t="shared" si="71"/>
        <v>14.681547313833299</v>
      </c>
      <c r="AA84" s="13">
        <f t="shared" si="71"/>
        <v>22.700879238550229</v>
      </c>
      <c r="AB84" s="13">
        <f t="shared" si="71"/>
        <v>22.758092794629633</v>
      </c>
      <c r="AC84" s="13">
        <f t="shared" si="72"/>
        <v>24.419030564486579</v>
      </c>
      <c r="AD84" s="13">
        <f t="shared" si="73"/>
        <v>9.5573404355134208</v>
      </c>
      <c r="AE84" s="13">
        <f t="shared" si="73"/>
        <v>11.577427659739485</v>
      </c>
      <c r="AF84" s="13">
        <f t="shared" si="73"/>
        <v>7.7726696569829699</v>
      </c>
      <c r="AG84" s="13">
        <f t="shared" si="74"/>
        <v>41.143867523547165</v>
      </c>
      <c r="AH84" s="13">
        <f t="shared" si="75"/>
        <v>20.540152476452832</v>
      </c>
      <c r="AI84" s="13">
        <f t="shared" si="75"/>
        <v>15.0842081892933</v>
      </c>
      <c r="AJ84" s="13">
        <f t="shared" si="75"/>
        <v>19.318713926607316</v>
      </c>
      <c r="AK84" s="13">
        <f t="shared" si="76"/>
        <v>43.598353552859599</v>
      </c>
      <c r="AL84" s="13">
        <f t="shared" si="77"/>
        <v>24.065855931131971</v>
      </c>
      <c r="AM84" s="13">
        <f t="shared" si="56"/>
        <v>28.339797639784081</v>
      </c>
      <c r="AN84" s="13">
        <f t="shared" si="56"/>
        <v>32.408669512251393</v>
      </c>
      <c r="AO84" s="13">
        <f t="shared" si="78"/>
        <v>35.701160287709399</v>
      </c>
      <c r="AP84" s="13">
        <f t="shared" si="56"/>
        <v>29.085672800885732</v>
      </c>
      <c r="AQ84" s="13">
        <f t="shared" si="56"/>
        <v>28.306169953560456</v>
      </c>
      <c r="AR84" s="13">
        <f>+AR56-AQ56</f>
        <v>28.905506305476919</v>
      </c>
      <c r="AS84" s="13">
        <f t="shared" si="79"/>
        <v>30.166514385873345</v>
      </c>
      <c r="AT84" s="13">
        <f t="shared" si="58"/>
        <v>34.967923395502879</v>
      </c>
      <c r="AU84" s="13">
        <f t="shared" si="58"/>
        <v>16.314317943001456</v>
      </c>
      <c r="AV84" s="13">
        <f t="shared" si="58"/>
        <v>16.225810504991969</v>
      </c>
    </row>
    <row r="85" spans="2:48" ht="15" customHeight="1" x14ac:dyDescent="0.2">
      <c r="B85" s="58" t="s">
        <v>163</v>
      </c>
      <c r="C85" s="15"/>
      <c r="D85" s="15">
        <f t="shared" si="59"/>
        <v>-71.144599999999997</v>
      </c>
      <c r="E85" s="15">
        <f t="shared" si="60"/>
        <v>22.454181332685991</v>
      </c>
      <c r="F85" s="15">
        <f t="shared" si="61"/>
        <v>-28.059539352993291</v>
      </c>
      <c r="G85" s="15">
        <f t="shared" si="61"/>
        <v>10.0710360203073</v>
      </c>
      <c r="H85" s="15">
        <f t="shared" si="61"/>
        <v>5.2387369999999986</v>
      </c>
      <c r="I85" s="15">
        <f t="shared" si="62"/>
        <v>40.614409999999999</v>
      </c>
      <c r="J85" s="15">
        <f t="shared" si="63"/>
        <v>11.484825999999998</v>
      </c>
      <c r="K85" s="15">
        <f t="shared" si="63"/>
        <v>9.3199170000000109</v>
      </c>
      <c r="L85" s="15">
        <f t="shared" si="63"/>
        <v>15.963402999999985</v>
      </c>
      <c r="M85" s="15">
        <f t="shared" si="64"/>
        <v>47.750175000000006</v>
      </c>
      <c r="N85" s="15">
        <f t="shared" si="65"/>
        <v>28.331879999999991</v>
      </c>
      <c r="O85" s="15">
        <f t="shared" si="65"/>
        <v>22.799385000000015</v>
      </c>
      <c r="P85" s="15">
        <f t="shared" si="65"/>
        <v>0.47221599999998887</v>
      </c>
      <c r="Q85" s="15">
        <f t="shared" si="66"/>
        <v>20.112839999999998</v>
      </c>
      <c r="R85" s="15">
        <f t="shared" si="67"/>
        <v>23.935110999999999</v>
      </c>
      <c r="S85" s="15">
        <f t="shared" si="67"/>
        <v>4.9989370000000051</v>
      </c>
      <c r="T85" s="15">
        <f t="shared" si="67"/>
        <v>12.330142000000002</v>
      </c>
      <c r="U85" s="15">
        <f t="shared" si="68"/>
        <v>31.455367999999996</v>
      </c>
      <c r="V85" s="15">
        <f t="shared" si="69"/>
        <v>1.7139614267234187</v>
      </c>
      <c r="W85" s="15">
        <f t="shared" si="69"/>
        <v>2.7999555732765842</v>
      </c>
      <c r="X85" s="15">
        <f t="shared" si="69"/>
        <v>9.7407759999999968</v>
      </c>
      <c r="Y85" s="15">
        <f t="shared" si="70"/>
        <v>47.864174117222035</v>
      </c>
      <c r="Z85" s="15">
        <f t="shared" si="71"/>
        <v>12.240315225789708</v>
      </c>
      <c r="AA85" s="15">
        <f t="shared" si="71"/>
        <v>18.071105069052201</v>
      </c>
      <c r="AB85" s="15">
        <f t="shared" si="71"/>
        <v>16.038903644190341</v>
      </c>
      <c r="AC85" s="15">
        <f t="shared" si="72"/>
        <v>18.314272923364936</v>
      </c>
      <c r="AD85" s="15">
        <f t="shared" si="73"/>
        <v>4.3366410766350647</v>
      </c>
      <c r="AE85" s="15">
        <f t="shared" si="73"/>
        <v>4.4554785909193626</v>
      </c>
      <c r="AF85" s="15">
        <f t="shared" si="73"/>
        <v>-0.25927405905219558</v>
      </c>
      <c r="AG85" s="15">
        <f t="shared" si="74"/>
        <v>33.323132374443155</v>
      </c>
      <c r="AH85" s="15">
        <f t="shared" si="75"/>
        <v>13.625260625556848</v>
      </c>
      <c r="AI85" s="15">
        <f t="shared" si="75"/>
        <v>7.9835391710054253</v>
      </c>
      <c r="AJ85" s="15">
        <f t="shared" si="75"/>
        <v>13.322930159599835</v>
      </c>
      <c r="AK85" s="15">
        <f t="shared" si="76"/>
        <v>36.286828422876937</v>
      </c>
      <c r="AL85" s="15">
        <f t="shared" si="77"/>
        <v>16.79931966822214</v>
      </c>
      <c r="AM85" s="15">
        <f t="shared" si="56"/>
        <v>20.934332763754028</v>
      </c>
      <c r="AN85" s="15">
        <f t="shared" si="56"/>
        <v>21.465868438602911</v>
      </c>
      <c r="AO85" s="15">
        <f t="shared" si="78"/>
        <v>30.188481125636624</v>
      </c>
      <c r="AP85" s="15">
        <f t="shared" si="56"/>
        <v>21.696002476908593</v>
      </c>
      <c r="AQ85" s="15">
        <f t="shared" si="56"/>
        <v>24.603999665599076</v>
      </c>
      <c r="AR85" s="15">
        <f t="shared" si="56"/>
        <v>26.200902044789146</v>
      </c>
      <c r="AS85" s="15">
        <f t="shared" si="79"/>
        <v>29.088739301497355</v>
      </c>
      <c r="AT85" s="15">
        <f t="shared" si="58"/>
        <v>28.031747557231753</v>
      </c>
      <c r="AU85" s="15">
        <f t="shared" si="58"/>
        <v>14.944549173788744</v>
      </c>
      <c r="AV85" s="15">
        <f>+AV61-AU57</f>
        <v>-86.326215324378509</v>
      </c>
    </row>
    <row r="86" spans="2:48" ht="15" customHeight="1" x14ac:dyDescent="0.2">
      <c r="B86" s="58" t="s">
        <v>7</v>
      </c>
      <c r="C86" s="15"/>
      <c r="D86" s="15">
        <f t="shared" si="59"/>
        <v>3.1585999999999981</v>
      </c>
      <c r="E86" s="15">
        <f t="shared" si="60"/>
        <v>3.0343488287413503</v>
      </c>
      <c r="F86" s="15">
        <f t="shared" si="61"/>
        <v>4.4394618650017144</v>
      </c>
      <c r="G86" s="15">
        <f t="shared" si="61"/>
        <v>5.2852693062569358</v>
      </c>
      <c r="H86" s="15">
        <f t="shared" si="61"/>
        <v>4.7088669999999979</v>
      </c>
      <c r="I86" s="15">
        <f t="shared" si="62"/>
        <v>4.6606699999999996</v>
      </c>
      <c r="J86" s="15">
        <f t="shared" si="63"/>
        <v>5.8910739999999997</v>
      </c>
      <c r="K86" s="15">
        <f t="shared" si="63"/>
        <v>5.2983600000000024</v>
      </c>
      <c r="L86" s="15">
        <f t="shared" si="63"/>
        <v>4.8297169999999987</v>
      </c>
      <c r="M86" s="15">
        <f t="shared" si="64"/>
        <v>4.456683</v>
      </c>
      <c r="N86" s="15">
        <f t="shared" si="65"/>
        <v>4.4941469999999999</v>
      </c>
      <c r="O86" s="15">
        <f t="shared" si="65"/>
        <v>3.4093500000000017</v>
      </c>
      <c r="P86" s="15">
        <f t="shared" si="65"/>
        <v>2.6027199999999997</v>
      </c>
      <c r="Q86" s="15">
        <f t="shared" si="66"/>
        <v>2.79345</v>
      </c>
      <c r="R86" s="15">
        <f t="shared" si="67"/>
        <v>3.8973779999999998</v>
      </c>
      <c r="S86" s="15">
        <f t="shared" si="67"/>
        <v>3.8988410000000009</v>
      </c>
      <c r="T86" s="15">
        <f t="shared" si="67"/>
        <v>4.4756020000000021</v>
      </c>
      <c r="U86" s="15">
        <f t="shared" si="68"/>
        <v>3.9319209999999996</v>
      </c>
      <c r="V86" s="15">
        <f t="shared" si="69"/>
        <v>3.8075891995687976</v>
      </c>
      <c r="W86" s="15">
        <f t="shared" si="69"/>
        <v>4.6081548004312021</v>
      </c>
      <c r="X86" s="15">
        <f t="shared" si="69"/>
        <v>3.4144249999999996</v>
      </c>
      <c r="Y86" s="15">
        <f t="shared" si="70"/>
        <v>5.418585749119476</v>
      </c>
      <c r="Z86" s="15">
        <f t="shared" si="71"/>
        <v>2.4412320880435985</v>
      </c>
      <c r="AA86" s="15">
        <f t="shared" si="71"/>
        <v>4.6297741694980292</v>
      </c>
      <c r="AB86" s="15">
        <f t="shared" si="71"/>
        <v>6.7191891504392824</v>
      </c>
      <c r="AC86" s="15">
        <f t="shared" si="72"/>
        <v>6.1047576411216449</v>
      </c>
      <c r="AD86" s="15">
        <f t="shared" si="73"/>
        <v>5.2206993588783552</v>
      </c>
      <c r="AE86" s="15">
        <f t="shared" si="73"/>
        <v>7.1219490688201219</v>
      </c>
      <c r="AF86" s="15">
        <f t="shared" si="73"/>
        <v>8.0319437160351654</v>
      </c>
      <c r="AG86" s="15">
        <f t="shared" si="74"/>
        <v>7.8207351491040065</v>
      </c>
      <c r="AH86" s="15">
        <f t="shared" si="75"/>
        <v>6.9148918508959927</v>
      </c>
      <c r="AI86" s="15">
        <f t="shared" si="75"/>
        <v>6.759476893002125</v>
      </c>
      <c r="AJ86" s="15">
        <f t="shared" si="75"/>
        <v>6.0056416091349512</v>
      </c>
      <c r="AK86" s="15">
        <f t="shared" si="76"/>
        <v>7.040727902946271</v>
      </c>
      <c r="AL86" s="15">
        <f t="shared" si="77"/>
        <v>7.5373334899462208</v>
      </c>
      <c r="AM86" s="15">
        <f t="shared" si="56"/>
        <v>9.3533722669472343</v>
      </c>
      <c r="AN86" s="15">
        <f t="shared" si="56"/>
        <v>8.9948936827313162</v>
      </c>
      <c r="AO86" s="15">
        <f t="shared" si="78"/>
        <v>5.5126791620727751</v>
      </c>
      <c r="AP86" s="15">
        <f t="shared" si="56"/>
        <v>5.5005366969580489</v>
      </c>
      <c r="AQ86" s="15">
        <f t="shared" si="56"/>
        <v>3.5456715812125505</v>
      </c>
      <c r="AR86" s="15">
        <f t="shared" si="56"/>
        <v>4.6953723059316452</v>
      </c>
      <c r="AS86" s="15">
        <f t="shared" si="79"/>
        <v>2.0511290533107109</v>
      </c>
      <c r="AT86" s="15">
        <f t="shared" si="58"/>
        <v>4.888743181861984</v>
      </c>
      <c r="AU86" s="15">
        <f t="shared" si="58"/>
        <v>2.6451325573296796</v>
      </c>
      <c r="AV86" s="15">
        <f t="shared" si="58"/>
        <v>6.2846524229018055</v>
      </c>
    </row>
    <row r="87" spans="2:48" ht="15" customHeight="1" x14ac:dyDescent="0.2">
      <c r="B87" s="58" t="s">
        <v>185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>
        <f t="shared" si="56"/>
        <v>0.24933998383649492</v>
      </c>
      <c r="AN87" s="15">
        <f t="shared" si="56"/>
        <v>-0.24329467535889959</v>
      </c>
      <c r="AO87" s="15">
        <f t="shared" si="78"/>
        <v>-0.26250853152727499</v>
      </c>
      <c r="AP87" s="15">
        <f t="shared" si="56"/>
        <v>2.9546279637348101</v>
      </c>
      <c r="AQ87" s="15">
        <f t="shared" si="56"/>
        <v>-0.51915115754434504</v>
      </c>
      <c r="AR87" s="15">
        <f t="shared" si="56"/>
        <v>-2.17296827466319</v>
      </c>
      <c r="AS87" s="15">
        <f t="shared" si="56"/>
        <v>-0.93233138786850489</v>
      </c>
      <c r="AT87" s="15">
        <f t="shared" si="56"/>
        <v>2.0000040394335352</v>
      </c>
      <c r="AU87" s="15">
        <f t="shared" si="56"/>
        <v>-1.2451727403150741</v>
      </c>
      <c r="AV87" s="15">
        <f t="shared" si="56"/>
        <v>-1.7621246820215781</v>
      </c>
    </row>
    <row r="88" spans="2:48" ht="15" customHeight="1" x14ac:dyDescent="0.2">
      <c r="B88" s="26" t="s">
        <v>149</v>
      </c>
      <c r="C88" s="13"/>
      <c r="D88" s="13">
        <f t="shared" ref="D88:D94" si="80">+D60-C60</f>
        <v>0.39680000000000071</v>
      </c>
      <c r="E88" s="13">
        <f t="shared" ref="E88:E94" si="81">+E60</f>
        <v>0</v>
      </c>
      <c r="F88" s="13">
        <f t="shared" ref="F88:H94" si="82">+F60-E60</f>
        <v>4.9825404624953764</v>
      </c>
      <c r="G88" s="13">
        <f t="shared" si="82"/>
        <v>0.75904553750462433</v>
      </c>
      <c r="H88" s="13">
        <f t="shared" si="82"/>
        <v>0.72802399999999956</v>
      </c>
      <c r="I88" s="13">
        <f t="shared" ref="I88:I94" si="83">+I60</f>
        <v>0.66581000000000001</v>
      </c>
      <c r="J88" s="13">
        <f t="shared" ref="J88:L94" si="84">+J60-I60</f>
        <v>0.65315799999999991</v>
      </c>
      <c r="K88" s="13">
        <f t="shared" si="84"/>
        <v>1.8740000000001533E-3</v>
      </c>
      <c r="L88" s="13">
        <f t="shared" si="84"/>
        <v>1.3339999999999907E-2</v>
      </c>
      <c r="M88" s="13">
        <f t="shared" ref="M88:M94" si="85">+M60</f>
        <v>0.63666900000000004</v>
      </c>
      <c r="N88" s="13">
        <f t="shared" ref="N88:P94" si="86">+N60-M60</f>
        <v>-0.63666900000000004</v>
      </c>
      <c r="O88" s="13">
        <f t="shared" si="86"/>
        <v>0.61800900000000003</v>
      </c>
      <c r="P88" s="13">
        <f t="shared" si="86"/>
        <v>0.57902300000000007</v>
      </c>
      <c r="Q88" s="13">
        <f t="shared" ref="Q88:Q94" si="87">+Q60</f>
        <v>0</v>
      </c>
      <c r="R88" s="13">
        <f t="shared" ref="R88:T94" si="88">+R60-Q60</f>
        <v>-0.55756899999999998</v>
      </c>
      <c r="S88" s="13">
        <f t="shared" si="88"/>
        <v>1.1149200000000001</v>
      </c>
      <c r="T88" s="13">
        <f t="shared" si="88"/>
        <v>-0.55735100000000004</v>
      </c>
      <c r="U88" s="13">
        <f t="shared" ref="U88:U94" si="89">+U60</f>
        <v>0</v>
      </c>
      <c r="V88" s="13">
        <f t="shared" ref="V88:X94" si="90">+V60-U60</f>
        <v>0</v>
      </c>
      <c r="W88" s="13">
        <f t="shared" si="90"/>
        <v>0</v>
      </c>
      <c r="X88" s="13">
        <f t="shared" si="90"/>
        <v>0</v>
      </c>
      <c r="Y88" s="13">
        <f t="shared" ref="Y88:Y94" si="91">+Y60</f>
        <v>0</v>
      </c>
      <c r="Z88" s="13">
        <f t="shared" ref="Z88:AB94" si="92">+Z60-Y60</f>
        <v>-0.46234222571547495</v>
      </c>
      <c r="AA88" s="13">
        <f t="shared" si="92"/>
        <v>-0.92539021946909195</v>
      </c>
      <c r="AB88" s="13">
        <f t="shared" si="92"/>
        <v>-1.8137310809988312</v>
      </c>
      <c r="AC88" s="13">
        <f t="shared" ref="AC88:AC94" si="93">+AC60</f>
        <v>-0.406983842741443</v>
      </c>
      <c r="AD88" s="13">
        <f t="shared" ref="AD88:AF94" si="94">+AD60-AC60</f>
        <v>-0.76461515725855711</v>
      </c>
      <c r="AE88" s="13">
        <f t="shared" si="94"/>
        <v>-0.33431169949551998</v>
      </c>
      <c r="AF88" s="13">
        <f t="shared" si="94"/>
        <v>-0.70070178257575377</v>
      </c>
      <c r="AG88" s="13">
        <f t="shared" ref="AG88:AG94" si="95">+AG60</f>
        <v>-0.68006392600904397</v>
      </c>
      <c r="AH88" s="13">
        <f t="shared" ref="AH88:AJ94" si="96">+AH60-AG60</f>
        <v>-1.3760700739909562</v>
      </c>
      <c r="AI88" s="13">
        <f t="shared" si="96"/>
        <v>-0.67340300228598382</v>
      </c>
      <c r="AJ88" s="13">
        <f t="shared" si="96"/>
        <v>-0.91514011245507421</v>
      </c>
      <c r="AK88" s="13">
        <f t="shared" ref="AK88:AK94" si="97">+AK60</f>
        <v>0.27079722703639503</v>
      </c>
      <c r="AL88" s="13">
        <f t="shared" ref="AL88:AN98" si="98">+AL60-AK60</f>
        <v>3.5800114427842633</v>
      </c>
      <c r="AM88" s="13">
        <f t="shared" si="56"/>
        <v>-1.9029012789034712</v>
      </c>
      <c r="AN88" s="13">
        <f t="shared" si="56"/>
        <v>-0.85036314616481912</v>
      </c>
      <c r="AO88" s="13">
        <f t="shared" si="78"/>
        <v>0.15750511891636498</v>
      </c>
      <c r="AP88" s="13">
        <f t="shared" si="56"/>
        <v>-0.64698137931773503</v>
      </c>
      <c r="AQ88" s="13">
        <f t="shared" si="56"/>
        <v>0.82693823345656337</v>
      </c>
      <c r="AR88" s="13">
        <f t="shared" si="56"/>
        <v>-0.95856712615761341</v>
      </c>
      <c r="AS88" s="13">
        <f t="shared" ref="AS88:AS95" si="99">+AS60</f>
        <v>0.83891178280408074</v>
      </c>
      <c r="AT88" s="13">
        <f t="shared" si="56"/>
        <v>-9.5811617314819797E-2</v>
      </c>
      <c r="AU88" s="13">
        <f t="shared" si="56"/>
        <v>1.0551532336374345</v>
      </c>
      <c r="AV88" s="93"/>
    </row>
    <row r="89" spans="2:48" ht="15" customHeight="1" x14ac:dyDescent="0.2">
      <c r="B89" s="26" t="s">
        <v>148</v>
      </c>
      <c r="C89" s="19"/>
      <c r="D89" s="19">
        <f t="shared" si="80"/>
        <v>-2.1629999999999998</v>
      </c>
      <c r="E89" s="19">
        <f t="shared" si="81"/>
        <v>0</v>
      </c>
      <c r="F89" s="19">
        <f t="shared" si="82"/>
        <v>1.2456351156238441</v>
      </c>
      <c r="G89" s="19">
        <f t="shared" si="82"/>
        <v>3.027288437615594E-2</v>
      </c>
      <c r="H89" s="19">
        <f t="shared" si="82"/>
        <v>-0.62894700000000003</v>
      </c>
      <c r="I89" s="19">
        <f t="shared" si="83"/>
        <v>0.66581000000000001</v>
      </c>
      <c r="J89" s="19">
        <f t="shared" si="84"/>
        <v>1.3126419999999999</v>
      </c>
      <c r="K89" s="19">
        <f t="shared" si="84"/>
        <v>2.811000000000341E-3</v>
      </c>
      <c r="L89" s="19">
        <f t="shared" si="84"/>
        <v>2.0009999999999639E-2</v>
      </c>
      <c r="M89" s="19">
        <f t="shared" si="85"/>
        <v>-0.63666900000000004</v>
      </c>
      <c r="N89" s="19">
        <f t="shared" si="86"/>
        <v>-1.2813660000000002</v>
      </c>
      <c r="O89" s="19">
        <f t="shared" si="86"/>
        <v>6.4008000000000065E-2</v>
      </c>
      <c r="P89" s="19">
        <f t="shared" si="86"/>
        <v>-0.5400370000000001</v>
      </c>
      <c r="Q89" s="19">
        <f t="shared" si="87"/>
        <v>0</v>
      </c>
      <c r="R89" s="19">
        <f t="shared" si="88"/>
        <v>2.7878449999999999</v>
      </c>
      <c r="S89" s="19">
        <f t="shared" si="88"/>
        <v>1.1136120000000003</v>
      </c>
      <c r="T89" s="19">
        <f t="shared" si="88"/>
        <v>-2.7855110000000001</v>
      </c>
      <c r="U89" s="19">
        <f t="shared" si="89"/>
        <v>0</v>
      </c>
      <c r="V89" s="19">
        <f t="shared" si="90"/>
        <v>-1.1056443142241139</v>
      </c>
      <c r="W89" s="19">
        <f t="shared" si="90"/>
        <v>-1.5786306857758861</v>
      </c>
      <c r="X89" s="19">
        <f t="shared" si="90"/>
        <v>-1.5189489999999997</v>
      </c>
      <c r="Y89" s="19">
        <f t="shared" si="91"/>
        <v>-0.45154881242662298</v>
      </c>
      <c r="Z89" s="19">
        <f t="shared" si="92"/>
        <v>-0.93547786471980188</v>
      </c>
      <c r="AA89" s="19">
        <f t="shared" si="92"/>
        <v>-0.92586073149452019</v>
      </c>
      <c r="AB89" s="19">
        <f t="shared" si="92"/>
        <v>-4.5473915760377652</v>
      </c>
      <c r="AC89" s="19">
        <f t="shared" si="93"/>
        <v>-1.627935370965772</v>
      </c>
      <c r="AD89" s="19">
        <f t="shared" si="94"/>
        <v>-0.7152626290342281</v>
      </c>
      <c r="AE89" s="19">
        <f t="shared" si="94"/>
        <v>8.4331950756720175E-2</v>
      </c>
      <c r="AF89" s="19">
        <f t="shared" si="94"/>
        <v>-1.051052673863631</v>
      </c>
      <c r="AG89" s="19">
        <f t="shared" si="95"/>
        <v>-0.68006392600904397</v>
      </c>
      <c r="AH89" s="19">
        <f t="shared" si="96"/>
        <v>-1.3760700739909562</v>
      </c>
      <c r="AI89" s="19">
        <f t="shared" si="96"/>
        <v>-0.33221087700023588</v>
      </c>
      <c r="AJ89" s="19">
        <f t="shared" si="96"/>
        <v>-1.5876665208990999</v>
      </c>
      <c r="AK89" s="19">
        <f t="shared" si="97"/>
        <v>-0.81239168110918514</v>
      </c>
      <c r="AL89" s="19">
        <f t="shared" si="98"/>
        <v>-1.113012653801144</v>
      </c>
      <c r="AM89" s="19">
        <f t="shared" si="56"/>
        <v>-0.85732050925708103</v>
      </c>
      <c r="AN89" s="19">
        <f t="shared" si="56"/>
        <v>-1.6074521348420618</v>
      </c>
      <c r="AO89" s="19">
        <f t="shared" si="78"/>
        <v>-0.84002730088728006</v>
      </c>
      <c r="AP89" s="19">
        <f t="shared" si="56"/>
        <v>-2.0968302615209398</v>
      </c>
      <c r="AQ89" s="19">
        <f t="shared" si="56"/>
        <v>-1.1463671225113807</v>
      </c>
      <c r="AR89" s="19">
        <f t="shared" si="56"/>
        <v>-5.0263175605825596</v>
      </c>
      <c r="AS89" s="19">
        <f t="shared" si="99"/>
        <v>-4.9562736579089721</v>
      </c>
      <c r="AT89" s="19">
        <f t="shared" si="56"/>
        <v>-3.8278251374003842</v>
      </c>
      <c r="AU89" s="19">
        <f t="shared" si="56"/>
        <v>-2.721101957290994</v>
      </c>
      <c r="AV89" s="19">
        <f t="shared" si="56"/>
        <v>-2.7559785392603082</v>
      </c>
    </row>
    <row r="90" spans="2:48" ht="15" customHeight="1" x14ac:dyDescent="0.2">
      <c r="B90" s="49" t="s">
        <v>134</v>
      </c>
      <c r="C90" s="50"/>
      <c r="D90" s="50">
        <f t="shared" si="80"/>
        <v>-64.744000000000028</v>
      </c>
      <c r="E90" s="50">
        <f t="shared" si="81"/>
        <v>56.438888214589113</v>
      </c>
      <c r="F90" s="50">
        <f t="shared" si="82"/>
        <v>-0.38530801151612337</v>
      </c>
      <c r="G90" s="50">
        <f t="shared" si="82"/>
        <v>40.915427796927013</v>
      </c>
      <c r="H90" s="50">
        <f t="shared" si="82"/>
        <v>33.717114000000009</v>
      </c>
      <c r="I90" s="50">
        <f t="shared" si="83"/>
        <v>71.907479999999993</v>
      </c>
      <c r="J90" s="50">
        <f t="shared" si="84"/>
        <v>44.161704</v>
      </c>
      <c r="K90" s="50">
        <f t="shared" si="84"/>
        <v>31.204699000000019</v>
      </c>
      <c r="L90" s="50">
        <f t="shared" si="84"/>
        <v>52.18632599999998</v>
      </c>
      <c r="M90" s="50">
        <f t="shared" si="85"/>
        <v>59.846886000000005</v>
      </c>
      <c r="N90" s="50">
        <f t="shared" si="86"/>
        <v>60.989319000000002</v>
      </c>
      <c r="O90" s="50">
        <f t="shared" si="86"/>
        <v>53.442333000000019</v>
      </c>
      <c r="P90" s="50">
        <f t="shared" si="86"/>
        <v>42.384253999999999</v>
      </c>
      <c r="Q90" s="50">
        <f t="shared" si="87"/>
        <v>54.192929999999997</v>
      </c>
      <c r="R90" s="50">
        <f t="shared" si="88"/>
        <v>53.975456000000001</v>
      </c>
      <c r="S90" s="50">
        <f t="shared" si="88"/>
        <v>37.857575999999995</v>
      </c>
      <c r="T90" s="50">
        <f t="shared" si="88"/>
        <v>10.764451000000037</v>
      </c>
      <c r="U90" s="50">
        <f t="shared" si="89"/>
        <v>67.966062999999991</v>
      </c>
      <c r="V90" s="50">
        <f t="shared" si="90"/>
        <v>-56.909619857758855</v>
      </c>
      <c r="W90" s="50">
        <f t="shared" si="90"/>
        <v>20.618001857758863</v>
      </c>
      <c r="X90" s="50">
        <f t="shared" si="90"/>
        <v>-26.420414999999998</v>
      </c>
      <c r="Y90" s="50">
        <f t="shared" si="91"/>
        <v>76.311749300099279</v>
      </c>
      <c r="Z90" s="50">
        <f t="shared" si="92"/>
        <v>39.736149354484937</v>
      </c>
      <c r="AA90" s="50">
        <f t="shared" si="92"/>
        <v>38.91555772435909</v>
      </c>
      <c r="AB90" s="50">
        <f t="shared" si="92"/>
        <v>-68.981293104303475</v>
      </c>
      <c r="AC90" s="50">
        <f t="shared" si="93"/>
        <v>30.116804362866784</v>
      </c>
      <c r="AD90" s="50">
        <f t="shared" si="94"/>
        <v>31.196876637133219</v>
      </c>
      <c r="AE90" s="50">
        <f t="shared" si="94"/>
        <v>31.676304693848365</v>
      </c>
      <c r="AF90" s="50">
        <f t="shared" si="94"/>
        <v>15.134025927644046</v>
      </c>
      <c r="AG90" s="50">
        <f t="shared" si="95"/>
        <v>63.585977081845613</v>
      </c>
      <c r="AH90" s="50">
        <f t="shared" si="96"/>
        <v>38.878033918154387</v>
      </c>
      <c r="AI90" s="50">
        <f t="shared" si="96"/>
        <v>16.612040724726057</v>
      </c>
      <c r="AJ90" s="50">
        <f t="shared" si="96"/>
        <v>56.199784066002991</v>
      </c>
      <c r="AK90" s="50">
        <f t="shared" si="97"/>
        <v>60.387781629116098</v>
      </c>
      <c r="AL90" s="50">
        <f t="shared" si="98"/>
        <v>73.015233003956723</v>
      </c>
      <c r="AM90" s="50">
        <f t="shared" si="56"/>
        <v>56.657092223561307</v>
      </c>
      <c r="AN90" s="50">
        <f t="shared" si="56"/>
        <v>85.697884637398346</v>
      </c>
      <c r="AO90" s="50">
        <f t="shared" si="78"/>
        <v>77.571271066309762</v>
      </c>
      <c r="AP90" s="50">
        <f t="shared" si="56"/>
        <v>67.558440142696426</v>
      </c>
      <c r="AQ90" s="50">
        <f t="shared" si="56"/>
        <v>68.255773362919086</v>
      </c>
      <c r="AR90" s="50">
        <f t="shared" si="56"/>
        <v>97.413049619913323</v>
      </c>
      <c r="AS90" s="50">
        <f t="shared" si="99"/>
        <v>175.76982602696319</v>
      </c>
      <c r="AT90" s="50">
        <f t="shared" si="56"/>
        <v>72.883660813971346</v>
      </c>
      <c r="AU90" s="50">
        <f t="shared" si="56"/>
        <v>70.703075337345865</v>
      </c>
      <c r="AV90" s="50">
        <f t="shared" si="56"/>
        <v>19.380918425472601</v>
      </c>
    </row>
    <row r="91" spans="2:48" ht="15" customHeight="1" x14ac:dyDescent="0.2">
      <c r="B91" s="48" t="s">
        <v>11</v>
      </c>
      <c r="C91" s="13"/>
      <c r="D91" s="13">
        <f t="shared" si="80"/>
        <v>-16.255200000000002</v>
      </c>
      <c r="E91" s="13">
        <f t="shared" si="81"/>
        <v>4.2480883602378903</v>
      </c>
      <c r="F91" s="13">
        <f t="shared" si="82"/>
        <v>0.11163454444556464</v>
      </c>
      <c r="G91" s="13">
        <f t="shared" si="82"/>
        <v>14.778897095316545</v>
      </c>
      <c r="H91" s="13">
        <f t="shared" si="82"/>
        <v>-2.9645949999999992</v>
      </c>
      <c r="I91" s="13">
        <f t="shared" si="83"/>
        <v>6.6581000000000001</v>
      </c>
      <c r="J91" s="13">
        <f t="shared" si="84"/>
        <v>3.8936439999999992</v>
      </c>
      <c r="K91" s="13">
        <f t="shared" si="84"/>
        <v>10.581728000000002</v>
      </c>
      <c r="L91" s="13">
        <f t="shared" si="84"/>
        <v>4.8830770000000001</v>
      </c>
      <c r="M91" s="13">
        <f t="shared" si="85"/>
        <v>1.2733380000000001</v>
      </c>
      <c r="N91" s="13">
        <f t="shared" si="86"/>
        <v>14.070942000000001</v>
      </c>
      <c r="O91" s="13">
        <f t="shared" si="86"/>
        <v>13.084134000000002</v>
      </c>
      <c r="P91" s="13">
        <f t="shared" si="86"/>
        <v>14.664738</v>
      </c>
      <c r="Q91" s="13">
        <f t="shared" si="87"/>
        <v>20.671530000000001</v>
      </c>
      <c r="R91" s="13">
        <f t="shared" si="88"/>
        <v>4.9766439999999967</v>
      </c>
      <c r="S91" s="13">
        <f t="shared" si="88"/>
        <v>15.595800000000004</v>
      </c>
      <c r="T91" s="13">
        <f t="shared" si="88"/>
        <v>-27.852622</v>
      </c>
      <c r="U91" s="13">
        <f t="shared" si="89"/>
        <v>17.974495999999998</v>
      </c>
      <c r="V91" s="13">
        <f t="shared" si="90"/>
        <v>-75.468000339653926</v>
      </c>
      <c r="W91" s="13">
        <f t="shared" si="90"/>
        <v>-4.244820660346079</v>
      </c>
      <c r="X91" s="13">
        <f t="shared" si="90"/>
        <v>-52.274125999999995</v>
      </c>
      <c r="Y91" s="13">
        <f t="shared" si="91"/>
        <v>10.837171498238952</v>
      </c>
      <c r="Z91" s="13">
        <f t="shared" si="92"/>
        <v>8.5812019818109952</v>
      </c>
      <c r="AA91" s="13">
        <f t="shared" si="92"/>
        <v>10.18658535055415</v>
      </c>
      <c r="AB91" s="13">
        <f t="shared" si="92"/>
        <v>-119.70328949605116</v>
      </c>
      <c r="AC91" s="13">
        <f t="shared" si="93"/>
        <v>5.6977737983802017</v>
      </c>
      <c r="AD91" s="13">
        <f t="shared" si="94"/>
        <v>0.94128720161979818</v>
      </c>
      <c r="AE91" s="13">
        <f t="shared" si="94"/>
        <v>5.4082245959641604</v>
      </c>
      <c r="AF91" s="13">
        <f t="shared" si="94"/>
        <v>3.3990017785347568</v>
      </c>
      <c r="AG91" s="13">
        <f t="shared" si="95"/>
        <v>11.561086742153748</v>
      </c>
      <c r="AH91" s="13">
        <f t="shared" si="96"/>
        <v>5.5733632578462533</v>
      </c>
      <c r="AI91" s="13">
        <f t="shared" si="96"/>
        <v>-12.559404792043406</v>
      </c>
      <c r="AJ91" s="13">
        <f t="shared" si="96"/>
        <v>22.263031727863922</v>
      </c>
      <c r="AK91" s="13">
        <f t="shared" si="97"/>
        <v>7.853119584055456</v>
      </c>
      <c r="AL91" s="13">
        <f t="shared" si="98"/>
        <v>36.156122356752071</v>
      </c>
      <c r="AM91" s="13">
        <f t="shared" si="98"/>
        <v>17.981241140225457</v>
      </c>
      <c r="AN91" s="13">
        <f t="shared" si="98"/>
        <v>45.180871014179111</v>
      </c>
      <c r="AO91" s="13">
        <f t="shared" si="78"/>
        <v>34.152359951698479</v>
      </c>
      <c r="AP91" s="13">
        <f t="shared" ref="AP91:AR97" si="100">+AP63-AO63</f>
        <v>34.132270493724839</v>
      </c>
      <c r="AQ91" s="13">
        <f t="shared" si="100"/>
        <v>34.304026660182956</v>
      </c>
      <c r="AR91" s="13">
        <f t="shared" si="100"/>
        <v>45.618005282335957</v>
      </c>
      <c r="AS91" s="13">
        <f t="shared" si="99"/>
        <v>116.50096030132963</v>
      </c>
      <c r="AT91" s="13">
        <f t="shared" ref="AT91:AV95" si="101">+AT63-AS63</f>
        <v>36.447595671409118</v>
      </c>
      <c r="AU91" s="13">
        <f t="shared" si="101"/>
        <v>35.56594578451174</v>
      </c>
      <c r="AV91" s="13">
        <f t="shared" si="101"/>
        <v>-14.940125963767258</v>
      </c>
    </row>
    <row r="92" spans="2:48" ht="15" customHeight="1" x14ac:dyDescent="0.2">
      <c r="B92" s="26" t="s">
        <v>24</v>
      </c>
      <c r="C92" s="13"/>
      <c r="D92" s="13">
        <f t="shared" si="80"/>
        <v>-84.820600000000013</v>
      </c>
      <c r="E92" s="13">
        <f t="shared" si="81"/>
        <v>5.4618278917344307</v>
      </c>
      <c r="F92" s="13">
        <f t="shared" si="82"/>
        <v>-11.690003469853652</v>
      </c>
      <c r="G92" s="13">
        <f t="shared" si="82"/>
        <v>8.7799915781192208</v>
      </c>
      <c r="H92" s="13">
        <f t="shared" si="82"/>
        <v>5.8586770000000001</v>
      </c>
      <c r="I92" s="13">
        <f t="shared" si="83"/>
        <v>35.953739999999996</v>
      </c>
      <c r="J92" s="13">
        <f t="shared" si="84"/>
        <v>13.507559999999998</v>
      </c>
      <c r="K92" s="13">
        <f t="shared" si="84"/>
        <v>11.957853000000014</v>
      </c>
      <c r="L92" s="13">
        <f t="shared" si="84"/>
        <v>15.963402999999985</v>
      </c>
      <c r="M92" s="13">
        <f t="shared" si="85"/>
        <v>44.566830000000003</v>
      </c>
      <c r="N92" s="13">
        <f t="shared" si="86"/>
        <v>25.121774999999992</v>
      </c>
      <c r="O92" s="13">
        <f t="shared" si="86"/>
        <v>10.034556000000009</v>
      </c>
      <c r="P92" s="13">
        <f t="shared" si="86"/>
        <v>2.2735310000000055</v>
      </c>
      <c r="Q92" s="13">
        <f t="shared" si="87"/>
        <v>24.582360000000001</v>
      </c>
      <c r="R92" s="13">
        <f t="shared" si="88"/>
        <v>20.580728999999998</v>
      </c>
      <c r="S92" s="13">
        <f t="shared" si="88"/>
        <v>6.1132030000000057</v>
      </c>
      <c r="T92" s="13">
        <f t="shared" si="88"/>
        <v>13.44857600000001</v>
      </c>
      <c r="U92" s="13">
        <f t="shared" si="89"/>
        <v>29.208555999999998</v>
      </c>
      <c r="V92" s="13">
        <f t="shared" si="90"/>
        <v>-10.965424815302118</v>
      </c>
      <c r="W92" s="13">
        <f t="shared" si="90"/>
        <v>-0.52691618469788182</v>
      </c>
      <c r="X92" s="13">
        <f t="shared" si="90"/>
        <v>15.384174000000002</v>
      </c>
      <c r="Y92" s="13">
        <f t="shared" si="91"/>
        <v>45.606430055088921</v>
      </c>
      <c r="Z92" s="13">
        <f t="shared" si="92"/>
        <v>7.5629259021906989</v>
      </c>
      <c r="AA92" s="13">
        <f t="shared" si="92"/>
        <v>16.217266301948726</v>
      </c>
      <c r="AB92" s="13">
        <f t="shared" si="92"/>
        <v>30.3160989847689</v>
      </c>
      <c r="AC92" s="13">
        <f t="shared" si="93"/>
        <v>19.942208294330708</v>
      </c>
      <c r="AD92" s="13">
        <f t="shared" si="94"/>
        <v>5.051903705669293</v>
      </c>
      <c r="AE92" s="13">
        <f t="shared" si="94"/>
        <v>-8.4290943055492811</v>
      </c>
      <c r="AF92" s="13">
        <f t="shared" si="94"/>
        <v>11.017638331440203</v>
      </c>
      <c r="AG92" s="13">
        <f t="shared" si="95"/>
        <v>38.083579856506468</v>
      </c>
      <c r="AH92" s="13">
        <f t="shared" si="96"/>
        <v>18.117416143493529</v>
      </c>
      <c r="AI92" s="13">
        <f t="shared" si="96"/>
        <v>2.8849502963594205</v>
      </c>
      <c r="AJ92" s="13">
        <f t="shared" si="96"/>
        <v>-12.699146654200497</v>
      </c>
      <c r="AK92" s="13">
        <f t="shared" si="97"/>
        <v>31.141681109185431</v>
      </c>
      <c r="AL92" s="13">
        <f t="shared" si="98"/>
        <v>26.070333413864351</v>
      </c>
      <c r="AM92" s="13">
        <f t="shared" si="98"/>
        <v>20.213964996095406</v>
      </c>
      <c r="AN92" s="13">
        <f t="shared" si="98"/>
        <v>17.69049736382928</v>
      </c>
      <c r="AO92" s="13">
        <f t="shared" si="78"/>
        <v>23.100750774400201</v>
      </c>
      <c r="AP92" s="13">
        <f t="shared" si="100"/>
        <v>15.974139093441163</v>
      </c>
      <c r="AQ92" s="13">
        <f>+AQ64-AP64</f>
        <v>5.6143756688818058</v>
      </c>
      <c r="AR92" s="13">
        <f t="shared" si="100"/>
        <v>51.377482563730211</v>
      </c>
      <c r="AS92" s="13">
        <f t="shared" si="99"/>
        <v>21.747002554588025</v>
      </c>
      <c r="AT92" s="13">
        <f t="shared" si="101"/>
        <v>26.602019635208574</v>
      </c>
      <c r="AU92" s="13">
        <f t="shared" si="101"/>
        <v>10.994227481828105</v>
      </c>
      <c r="AV92" s="13">
        <f t="shared" si="101"/>
        <v>8.6319583972144756</v>
      </c>
    </row>
    <row r="93" spans="2:48" ht="15" customHeight="1" x14ac:dyDescent="0.2">
      <c r="B93" s="58" t="s">
        <v>163</v>
      </c>
      <c r="C93" s="13"/>
      <c r="D93" s="13">
        <f t="shared" si="80"/>
        <v>-86.735600000000005</v>
      </c>
      <c r="E93" s="13">
        <f t="shared" si="81"/>
        <v>3.64121859448962</v>
      </c>
      <c r="F93" s="13">
        <f t="shared" si="82"/>
        <v>-14.851934635104218</v>
      </c>
      <c r="G93" s="13">
        <f t="shared" si="82"/>
        <v>5.4691300406145968</v>
      </c>
      <c r="H93" s="13">
        <f t="shared" si="82"/>
        <v>2.5067810000000006</v>
      </c>
      <c r="I93" s="13">
        <f t="shared" si="83"/>
        <v>32.624690000000001</v>
      </c>
      <c r="J93" s="13">
        <f t="shared" si="84"/>
        <v>9.5822859999999963</v>
      </c>
      <c r="K93" s="13">
        <f t="shared" si="84"/>
        <v>7.9850200000000058</v>
      </c>
      <c r="L93" s="13">
        <f t="shared" si="84"/>
        <v>13.181648999999993</v>
      </c>
      <c r="M93" s="13">
        <f t="shared" si="85"/>
        <v>41.383485</v>
      </c>
      <c r="N93" s="13">
        <f t="shared" si="86"/>
        <v>22.551015</v>
      </c>
      <c r="O93" s="13">
        <f t="shared" si="86"/>
        <v>7.1365350000000092</v>
      </c>
      <c r="P93" s="13">
        <f t="shared" si="86"/>
        <v>0.75088499999999669</v>
      </c>
      <c r="Q93" s="13">
        <f t="shared" si="87"/>
        <v>22.906289999999998</v>
      </c>
      <c r="R93" s="13">
        <f t="shared" si="88"/>
        <v>17.796247000000001</v>
      </c>
      <c r="S93" s="13">
        <f t="shared" si="88"/>
        <v>3.8855429999999984</v>
      </c>
      <c r="T93" s="13">
        <f t="shared" si="88"/>
        <v>10.093274000000008</v>
      </c>
      <c r="U93" s="13">
        <f t="shared" si="89"/>
        <v>25.838337999999997</v>
      </c>
      <c r="V93" s="13">
        <f t="shared" si="90"/>
        <v>-13.123428386422688</v>
      </c>
      <c r="W93" s="13">
        <f t="shared" si="90"/>
        <v>-4.125229613577309</v>
      </c>
      <c r="X93" s="13">
        <f t="shared" si="90"/>
        <v>12.426440000000001</v>
      </c>
      <c r="Y93" s="13">
        <f t="shared" si="91"/>
        <v>41.542490743249317</v>
      </c>
      <c r="Z93" s="13">
        <f t="shared" si="92"/>
        <v>5.6164162797291297</v>
      </c>
      <c r="AA93" s="13">
        <f t="shared" si="92"/>
        <v>12.976165601686127</v>
      </c>
      <c r="AB93" s="13">
        <f t="shared" si="92"/>
        <v>24.932386785351426</v>
      </c>
      <c r="AC93" s="13">
        <f t="shared" si="93"/>
        <v>15.058402181433392</v>
      </c>
      <c r="AD93" s="13">
        <f t="shared" si="94"/>
        <v>1.343983818566608</v>
      </c>
      <c r="AE93" s="13">
        <f t="shared" si="94"/>
        <v>-13.76704227588284</v>
      </c>
      <c r="AF93" s="13">
        <f t="shared" si="94"/>
        <v>5.0877999631322979</v>
      </c>
      <c r="AG93" s="13">
        <f t="shared" si="95"/>
        <v>31.96300452242507</v>
      </c>
      <c r="AH93" s="13">
        <f t="shared" si="96"/>
        <v>12.586565477574933</v>
      </c>
      <c r="AI93" s="13">
        <f t="shared" si="96"/>
        <v>-1.9005543392814985</v>
      </c>
      <c r="AJ93" s="13">
        <f t="shared" si="96"/>
        <v>-18.461612990164209</v>
      </c>
      <c r="AK93" s="13">
        <f t="shared" si="97"/>
        <v>25.725736568457528</v>
      </c>
      <c r="AL93" s="13">
        <f t="shared" si="98"/>
        <v>20.483967469390372</v>
      </c>
      <c r="AM93" s="13">
        <f t="shared" si="98"/>
        <v>14.175425080584901</v>
      </c>
      <c r="AN93" s="13">
        <f t="shared" si="98"/>
        <v>9.8577025457187517</v>
      </c>
      <c r="AO93" s="13">
        <f t="shared" si="78"/>
        <v>18.9006142699638</v>
      </c>
      <c r="AP93" s="13">
        <f t="shared" si="100"/>
        <v>7.53110379171018</v>
      </c>
      <c r="AQ93" s="13">
        <f t="shared" si="100"/>
        <v>-0.13880193824937948</v>
      </c>
      <c r="AR93" s="13">
        <f t="shared" si="100"/>
        <v>53.208543473685154</v>
      </c>
      <c r="AS93" s="13">
        <f t="shared" si="99"/>
        <v>20.697756810680811</v>
      </c>
      <c r="AT93" s="13">
        <f t="shared" si="101"/>
        <v>21.297367484210366</v>
      </c>
      <c r="AU93" s="13">
        <f t="shared" si="101"/>
        <v>10.367401886371802</v>
      </c>
      <c r="AV93" s="13">
        <f t="shared" si="101"/>
        <v>6.0025464665012862</v>
      </c>
    </row>
    <row r="94" spans="2:48" ht="15" customHeight="1" x14ac:dyDescent="0.2">
      <c r="B94" s="58" t="s">
        <v>7</v>
      </c>
      <c r="C94" s="13"/>
      <c r="D94" s="13">
        <f t="shared" si="80"/>
        <v>1.9149999999999991</v>
      </c>
      <c r="E94" s="13">
        <f t="shared" si="81"/>
        <v>1.82060929724481</v>
      </c>
      <c r="F94" s="13">
        <f t="shared" si="82"/>
        <v>3.1619311652505662</v>
      </c>
      <c r="G94" s="13">
        <f t="shared" si="82"/>
        <v>3.310861537504624</v>
      </c>
      <c r="H94" s="13">
        <f t="shared" si="82"/>
        <v>3.351896</v>
      </c>
      <c r="I94" s="13">
        <f t="shared" si="83"/>
        <v>3.3290500000000001</v>
      </c>
      <c r="J94" s="13">
        <f t="shared" si="84"/>
        <v>3.9252739999999995</v>
      </c>
      <c r="K94" s="13">
        <f t="shared" si="84"/>
        <v>3.9728330000000023</v>
      </c>
      <c r="L94" s="13">
        <f t="shared" si="84"/>
        <v>2.7817539999999976</v>
      </c>
      <c r="M94" s="13">
        <f t="shared" si="85"/>
        <v>3.1833450000000001</v>
      </c>
      <c r="N94" s="13">
        <f t="shared" si="86"/>
        <v>2.5707599999999999</v>
      </c>
      <c r="O94" s="13">
        <f t="shared" si="86"/>
        <v>2.8980210000000008</v>
      </c>
      <c r="P94" s="13">
        <f t="shared" si="86"/>
        <v>1.5226459999999999</v>
      </c>
      <c r="Q94" s="13">
        <f t="shared" si="87"/>
        <v>1.6760699999999999</v>
      </c>
      <c r="R94" s="13">
        <f t="shared" si="88"/>
        <v>2.7844819999999997</v>
      </c>
      <c r="S94" s="13">
        <f t="shared" si="88"/>
        <v>2.2276600000000002</v>
      </c>
      <c r="T94" s="13">
        <f t="shared" si="88"/>
        <v>3.3553020000000018</v>
      </c>
      <c r="U94" s="13">
        <f t="shared" si="89"/>
        <v>3.3702179999999995</v>
      </c>
      <c r="V94" s="13">
        <f t="shared" si="90"/>
        <v>2.1580035711205694</v>
      </c>
      <c r="W94" s="13">
        <f t="shared" si="90"/>
        <v>3.5983134288794316</v>
      </c>
      <c r="X94" s="13">
        <f t="shared" si="90"/>
        <v>2.9577339999999985</v>
      </c>
      <c r="Y94" s="13">
        <f t="shared" si="91"/>
        <v>4.063939311839607</v>
      </c>
      <c r="Z94" s="13">
        <f t="shared" si="92"/>
        <v>1.9465096224615674</v>
      </c>
      <c r="AA94" s="13">
        <f t="shared" si="92"/>
        <v>3.2411007002626055</v>
      </c>
      <c r="AB94" s="13">
        <f t="shared" si="92"/>
        <v>5.3837121994174684</v>
      </c>
      <c r="AC94" s="13">
        <f t="shared" si="93"/>
        <v>4.8838061128973163</v>
      </c>
      <c r="AD94" s="13">
        <f t="shared" si="94"/>
        <v>3.7079198871026833</v>
      </c>
      <c r="AE94" s="13">
        <f t="shared" si="94"/>
        <v>5.3379479703335608</v>
      </c>
      <c r="AF94" s="13">
        <f t="shared" si="94"/>
        <v>5.9298383683079052</v>
      </c>
      <c r="AG94" s="13">
        <f t="shared" si="95"/>
        <v>6.120575334081396</v>
      </c>
      <c r="AH94" s="13">
        <f t="shared" si="96"/>
        <v>5.5308506659186047</v>
      </c>
      <c r="AI94" s="13">
        <f t="shared" si="96"/>
        <v>4.7257960137159039</v>
      </c>
      <c r="AJ94" s="13">
        <f t="shared" si="96"/>
        <v>5.8221749578887199</v>
      </c>
      <c r="AK94" s="13">
        <f t="shared" si="97"/>
        <v>5.4159445407279012</v>
      </c>
      <c r="AL94" s="13">
        <f t="shared" si="98"/>
        <v>5.5863659444739806</v>
      </c>
      <c r="AM94" s="13">
        <f t="shared" si="98"/>
        <v>7.6419459707197674</v>
      </c>
      <c r="AN94" s="13">
        <f t="shared" si="98"/>
        <v>6.3248751121947215</v>
      </c>
      <c r="AO94" s="13">
        <f t="shared" si="78"/>
        <v>4.2001365044363999</v>
      </c>
      <c r="AP94" s="13">
        <f t="shared" si="100"/>
        <v>4.855174312988944</v>
      </c>
      <c r="AQ94" s="13">
        <f t="shared" si="100"/>
        <v>4.8516861404190728</v>
      </c>
      <c r="AR94" s="13">
        <f t="shared" si="100"/>
        <v>3.0698772269550645</v>
      </c>
      <c r="AS94" s="13">
        <f t="shared" si="99"/>
        <v>1.8646627757370098</v>
      </c>
      <c r="AT94" s="13">
        <f t="shared" si="101"/>
        <v>3.6516459240156456</v>
      </c>
      <c r="AU94" s="13">
        <f t="shared" si="101"/>
        <v>1.7611949389991484</v>
      </c>
      <c r="AV94" s="13">
        <f t="shared" si="101"/>
        <v>4.7129040351091325</v>
      </c>
    </row>
    <row r="95" spans="2:48" ht="15" customHeight="1" x14ac:dyDescent="0.2">
      <c r="B95" s="58" t="s">
        <v>185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>
        <f t="shared" si="98"/>
        <v>-0.29756081813690494</v>
      </c>
      <c r="AN95" s="13">
        <f t="shared" si="98"/>
        <v>0.30159102378863523</v>
      </c>
      <c r="AO95" s="13">
        <f t="shared" si="78"/>
        <v>-2.1000682522181999</v>
      </c>
      <c r="AP95" s="13">
        <f t="shared" si="100"/>
        <v>5.771140205228475</v>
      </c>
      <c r="AQ95" s="13">
        <f>+AQ67-AP67</f>
        <v>0.89216142378242491</v>
      </c>
      <c r="AR95" s="13">
        <f t="shared" si="100"/>
        <v>-4.9773034788609793</v>
      </c>
      <c r="AS95" s="13">
        <f t="shared" si="99"/>
        <v>-0.74586511029480396</v>
      </c>
      <c r="AT95" s="13">
        <f>+AT67-AS67</f>
        <v>1.9914832037873389</v>
      </c>
      <c r="AU95" s="13">
        <f t="shared" si="101"/>
        <v>-1.4231181822425789</v>
      </c>
      <c r="AV95" s="13">
        <f t="shared" si="101"/>
        <v>-2.291113255868384</v>
      </c>
    </row>
    <row r="96" spans="2:48" ht="15" customHeight="1" x14ac:dyDescent="0.2">
      <c r="B96" s="26" t="s">
        <v>149</v>
      </c>
      <c r="C96" s="13"/>
      <c r="D96" s="13">
        <f>+D68-C68</f>
        <v>-2.5863999999999994</v>
      </c>
      <c r="E96" s="13">
        <f>+E68</f>
        <v>-1.21373953149654</v>
      </c>
      <c r="F96" s="13">
        <f t="shared" ref="F96:H98" si="102">+F68-E68</f>
        <v>4.3278273205561506</v>
      </c>
      <c r="G96" s="13">
        <f t="shared" si="102"/>
        <v>0.71363621094038976</v>
      </c>
      <c r="H96" s="13">
        <f t="shared" si="102"/>
        <v>0.7010029999999996</v>
      </c>
      <c r="I96" s="13">
        <f>+I68</f>
        <v>0</v>
      </c>
      <c r="J96" s="13">
        <f t="shared" ref="J96:L98" si="103">+J68-I68</f>
        <v>0.65948399999999996</v>
      </c>
      <c r="K96" s="13">
        <f t="shared" si="103"/>
        <v>0.66135800000000011</v>
      </c>
      <c r="L96" s="13">
        <f t="shared" si="103"/>
        <v>0.68043099999999979</v>
      </c>
      <c r="M96" s="13">
        <f>+M68</f>
        <v>0.63666900000000004</v>
      </c>
      <c r="N96" s="13">
        <f t="shared" ref="N96:P98" si="104">+N68-M68</f>
        <v>0.64202100000000006</v>
      </c>
      <c r="O96" s="13">
        <f t="shared" si="104"/>
        <v>1.8113550000000003</v>
      </c>
      <c r="P96" s="13">
        <f t="shared" si="104"/>
        <v>1.099567</v>
      </c>
      <c r="Q96" s="13">
        <f>+Q68</f>
        <v>0</v>
      </c>
      <c r="R96" s="13">
        <f t="shared" ref="R96:T98" si="105">+R68-Q68</f>
        <v>0</v>
      </c>
      <c r="S96" s="13">
        <f t="shared" si="105"/>
        <v>1.1147020000000001</v>
      </c>
      <c r="T96" s="13">
        <f t="shared" si="105"/>
        <v>1.2440000000000229E-3</v>
      </c>
      <c r="U96" s="13">
        <f>+U68</f>
        <v>0.56170299999999995</v>
      </c>
      <c r="V96" s="13">
        <f t="shared" ref="V96:X98" si="106">+V68-U68</f>
        <v>-1.1145251571120569</v>
      </c>
      <c r="W96" s="13">
        <f t="shared" si="106"/>
        <v>1.5967157112056984E-2</v>
      </c>
      <c r="X96" s="13">
        <f t="shared" si="106"/>
        <v>1.1452000000000018E-2</v>
      </c>
      <c r="Y96" s="13">
        <f>+Y68</f>
        <v>0</v>
      </c>
      <c r="Z96" s="13">
        <f t="shared" ref="Z96:AB98" si="107">+Z68-Y68</f>
        <v>0</v>
      </c>
      <c r="AA96" s="13">
        <f t="shared" si="107"/>
        <v>-0.92515496345637804</v>
      </c>
      <c r="AB96" s="13">
        <f t="shared" si="107"/>
        <v>-0.904252765791278</v>
      </c>
      <c r="AC96" s="13">
        <f>+AC68</f>
        <v>0</v>
      </c>
      <c r="AD96" s="13">
        <f t="shared" ref="AD96:AF98" si="108">+AD68-AC68</f>
        <v>-0.39053300000000002</v>
      </c>
      <c r="AE96" s="13">
        <f t="shared" si="108"/>
        <v>1.4055325126120011E-2</v>
      </c>
      <c r="AF96" s="13">
        <f t="shared" si="108"/>
        <v>-0.359059819149878</v>
      </c>
      <c r="AG96" s="13">
        <f>+AG68</f>
        <v>-0.68006392600904397</v>
      </c>
      <c r="AH96" s="13">
        <f t="shared" ref="AH96:AJ98" si="109">+AH68-AG68</f>
        <v>-1.3760700739909562</v>
      </c>
      <c r="AI96" s="13">
        <f t="shared" si="109"/>
        <v>-0.529761117540684</v>
      </c>
      <c r="AJ96" s="13">
        <f t="shared" si="109"/>
        <v>6.2305722322817427</v>
      </c>
      <c r="AK96" s="13">
        <f>+AK68</f>
        <v>0.27079722703639503</v>
      </c>
      <c r="AL96" s="13">
        <f>+AL68-AK68</f>
        <v>2.7548381563941224</v>
      </c>
      <c r="AM96" s="13">
        <f t="shared" si="98"/>
        <v>-3.1043864965204553</v>
      </c>
      <c r="AN96" s="13">
        <f t="shared" si="98"/>
        <v>-3.7264347834665221</v>
      </c>
      <c r="AO96" s="13">
        <f>+AO68</f>
        <v>-2.4413293432036576</v>
      </c>
      <c r="AP96" s="13">
        <f>+AP68-AO68</f>
        <v>-2.2197083464683884</v>
      </c>
      <c r="AQ96" s="13">
        <f t="shared" si="100"/>
        <v>-0.86938386617323982</v>
      </c>
      <c r="AR96" s="13">
        <f t="shared" si="100"/>
        <v>0.40671811285238846</v>
      </c>
      <c r="AS96" s="13">
        <f>+AS68</f>
        <v>1.3022804825747276</v>
      </c>
      <c r="AT96" s="13">
        <f t="shared" ref="AT96:AV98" si="110">+AT68-AS68</f>
        <v>-1.4353836731365013</v>
      </c>
      <c r="AU96" s="13">
        <f t="shared" si="110"/>
        <v>0.21883573342804499</v>
      </c>
      <c r="AV96" s="93"/>
    </row>
    <row r="97" spans="1:48" ht="15" customHeight="1" x14ac:dyDescent="0.2">
      <c r="B97" s="26" t="s">
        <v>148</v>
      </c>
      <c r="C97" s="13"/>
      <c r="D97" s="13">
        <f>+D69-C69</f>
        <v>-4.2462000000000018</v>
      </c>
      <c r="E97" s="13">
        <f>+E69</f>
        <v>-4.8549581259861601</v>
      </c>
      <c r="F97" s="13">
        <f t="shared" si="102"/>
        <v>11.705951261917303</v>
      </c>
      <c r="G97" s="13">
        <f t="shared" si="102"/>
        <v>3.3562708640688577</v>
      </c>
      <c r="H97" s="13">
        <f t="shared" si="102"/>
        <v>5.319799999999999</v>
      </c>
      <c r="I97" s="13">
        <f>+I69</f>
        <v>1.33162</v>
      </c>
      <c r="J97" s="13">
        <f t="shared" si="103"/>
        <v>7.9011559999999994</v>
      </c>
      <c r="K97" s="13">
        <f t="shared" si="103"/>
        <v>3.9756440000000026</v>
      </c>
      <c r="L97" s="13">
        <f t="shared" si="103"/>
        <v>-0.5336910000000028</v>
      </c>
      <c r="M97" s="13">
        <f>+M69</f>
        <v>2.5466760000000002</v>
      </c>
      <c r="N97" s="13">
        <f t="shared" si="104"/>
        <v>3.2074289999999999</v>
      </c>
      <c r="O97" s="13">
        <f t="shared" si="104"/>
        <v>4.7520480000000012</v>
      </c>
      <c r="P97" s="13">
        <f t="shared" si="104"/>
        <v>6.2522950000000002</v>
      </c>
      <c r="Q97" s="13">
        <f>+Q69</f>
        <v>6.1455900000000003</v>
      </c>
      <c r="R97" s="13">
        <f t="shared" si="105"/>
        <v>6.1209279999999993</v>
      </c>
      <c r="S97" s="13">
        <f t="shared" si="105"/>
        <v>3.8966609999999999</v>
      </c>
      <c r="T97" s="13">
        <f t="shared" si="105"/>
        <v>72.554528000000019</v>
      </c>
      <c r="U97" s="13">
        <f>+U69</f>
        <v>34.825585999999994</v>
      </c>
      <c r="V97" s="13">
        <f t="shared" si="106"/>
        <v>7.741720097628388</v>
      </c>
      <c r="W97" s="13">
        <f t="shared" si="106"/>
        <v>5.2127889023716207</v>
      </c>
      <c r="X97" s="13">
        <f t="shared" si="106"/>
        <v>0.55698099999999329</v>
      </c>
      <c r="Y97" s="13">
        <f>+Y69</f>
        <v>7.6763298112525904</v>
      </c>
      <c r="Z97" s="13">
        <f t="shared" si="107"/>
        <v>4.8069102830652328</v>
      </c>
      <c r="AA97" s="13">
        <f t="shared" si="107"/>
        <v>6.4824366565379261</v>
      </c>
      <c r="AB97" s="13">
        <f t="shared" si="107"/>
        <v>-0.21424752606727537</v>
      </c>
      <c r="AC97" s="13">
        <f>+AC69</f>
        <v>9.3606283830531893</v>
      </c>
      <c r="AD97" s="13">
        <f t="shared" si="108"/>
        <v>4.6985596169468113</v>
      </c>
      <c r="AE97" s="13">
        <f t="shared" si="108"/>
        <v>17.188459014532043</v>
      </c>
      <c r="AF97" s="13">
        <f t="shared" si="108"/>
        <v>-2.5616847476054829</v>
      </c>
      <c r="AG97" s="13">
        <f>+AG69</f>
        <v>2.0401917780271321</v>
      </c>
      <c r="AH97" s="13">
        <f t="shared" si="109"/>
        <v>3.4428322219728682</v>
      </c>
      <c r="AI97" s="13">
        <f t="shared" si="109"/>
        <v>6.5552577564570473</v>
      </c>
      <c r="AJ97" s="13">
        <f t="shared" si="109"/>
        <v>20.763812276212477</v>
      </c>
      <c r="AK97" s="13">
        <f>+AK69</f>
        <v>4.3327556325823204</v>
      </c>
      <c r="AL97" s="13">
        <f>+AL69-AK69</f>
        <v>-2.6824090598020383</v>
      </c>
      <c r="AM97" s="13">
        <f t="shared" si="98"/>
        <v>2.6294842375491947</v>
      </c>
      <c r="AN97" s="13">
        <f t="shared" si="98"/>
        <v>8.7145442754161824</v>
      </c>
      <c r="AO97" s="13">
        <f>+AO69</f>
        <v>8.452774715178256</v>
      </c>
      <c r="AP97" s="13">
        <f>+AP69-AO69</f>
        <v>19.719276190352794</v>
      </c>
      <c r="AQ97" s="13">
        <f>+AQ69-AP69</f>
        <v>43.398353266568051</v>
      </c>
      <c r="AR97" s="13">
        <f t="shared" si="100"/>
        <v>-25.67860068976956</v>
      </c>
      <c r="AS97" s="13">
        <f>+AS69</f>
        <v>6.0622051501985936</v>
      </c>
      <c r="AT97" s="13">
        <f t="shared" si="110"/>
        <v>2.6352342148920691</v>
      </c>
      <c r="AU97" s="13">
        <f t="shared" si="110"/>
        <v>-1.6888483607951761</v>
      </c>
      <c r="AV97" s="13">
        <f t="shared" si="110"/>
        <v>0.92324000148813745</v>
      </c>
    </row>
    <row r="98" spans="1:48" ht="15" customHeight="1" x14ac:dyDescent="0.2">
      <c r="A98" s="63" t="s">
        <v>79</v>
      </c>
      <c r="B98" s="49" t="s">
        <v>135</v>
      </c>
      <c r="C98" s="50"/>
      <c r="D98" s="50">
        <f>+D70-C70</f>
        <v>-108.67900000000003</v>
      </c>
      <c r="E98" s="50">
        <f>+E70</f>
        <v>3.64121859448962</v>
      </c>
      <c r="F98" s="50">
        <f t="shared" si="102"/>
        <v>3.832592099253445</v>
      </c>
      <c r="G98" s="50">
        <f t="shared" si="102"/>
        <v>28.889567306256939</v>
      </c>
      <c r="H98" s="50">
        <f t="shared" si="102"/>
        <v>8.2769309999999976</v>
      </c>
      <c r="I98" s="50">
        <f>+I70</f>
        <v>44.609269999999995</v>
      </c>
      <c r="J98" s="50">
        <f t="shared" si="103"/>
        <v>25.296034000000006</v>
      </c>
      <c r="K98" s="50">
        <f t="shared" si="103"/>
        <v>27.176583000000008</v>
      </c>
      <c r="L98" s="50">
        <f t="shared" si="103"/>
        <v>21.660310999999993</v>
      </c>
      <c r="M98" s="50">
        <f>+M70</f>
        <v>48.386844000000004</v>
      </c>
      <c r="N98" s="50">
        <f t="shared" si="104"/>
        <v>43.039491000000005</v>
      </c>
      <c r="O98" s="50">
        <f t="shared" si="104"/>
        <v>30.321438000000001</v>
      </c>
      <c r="P98" s="50">
        <f t="shared" si="104"/>
        <v>23.691614999999999</v>
      </c>
      <c r="Q98" s="50">
        <f>+Q70</f>
        <v>51.399479999999997</v>
      </c>
      <c r="R98" s="50">
        <f t="shared" si="105"/>
        <v>32.235870000000006</v>
      </c>
      <c r="S98" s="50">
        <f t="shared" si="105"/>
        <v>26.720147999999995</v>
      </c>
      <c r="T98" s="50">
        <f t="shared" si="105"/>
        <v>57.036402000000024</v>
      </c>
      <c r="U98" s="50">
        <f>+U70</f>
        <v>82.570340999999985</v>
      </c>
      <c r="V98" s="50">
        <f t="shared" si="106"/>
        <v>-79.253408057327647</v>
      </c>
      <c r="W98" s="50">
        <f t="shared" si="106"/>
        <v>-9.5802942672341462E-2</v>
      </c>
      <c r="X98" s="50">
        <f t="shared" si="106"/>
        <v>-36.846921999999999</v>
      </c>
      <c r="Y98" s="50">
        <f>+Y70</f>
        <v>64.119931364580466</v>
      </c>
      <c r="Z98" s="50">
        <f t="shared" si="107"/>
        <v>20.951038167066926</v>
      </c>
      <c r="AA98" s="50">
        <f t="shared" si="107"/>
        <v>31.961133345584429</v>
      </c>
      <c r="AB98" s="50">
        <f t="shared" si="107"/>
        <v>-90.505690803140808</v>
      </c>
      <c r="AC98" s="50">
        <f>+AC70</f>
        <v>34.593626633022659</v>
      </c>
      <c r="AD98" s="50">
        <f t="shared" si="108"/>
        <v>10.317668366977344</v>
      </c>
      <c r="AE98" s="50">
        <f t="shared" si="108"/>
        <v>14.572177630073043</v>
      </c>
      <c r="AF98" s="50">
        <f t="shared" si="108"/>
        <v>11.495895543219596</v>
      </c>
      <c r="AG98" s="50">
        <f>+AG70</f>
        <v>51.004794450678304</v>
      </c>
      <c r="AH98" s="50">
        <f t="shared" si="109"/>
        <v>25.757541549321701</v>
      </c>
      <c r="AI98" s="50">
        <f t="shared" si="109"/>
        <v>-3.6489578567676375</v>
      </c>
      <c r="AJ98" s="50">
        <f t="shared" si="109"/>
        <v>36.226935298999365</v>
      </c>
      <c r="AK98" s="50">
        <f>+AK70</f>
        <v>43.598353552859599</v>
      </c>
      <c r="AL98" s="50">
        <f>+AL70-AK70</f>
        <v>62.298884867208507</v>
      </c>
      <c r="AM98" s="50">
        <f t="shared" si="98"/>
        <v>37.720303877349608</v>
      </c>
      <c r="AN98" s="50">
        <f t="shared" si="98"/>
        <v>67.859477869958027</v>
      </c>
      <c r="AO98" s="50">
        <f>+AO70</f>
        <v>63.290806951226003</v>
      </c>
      <c r="AP98" s="50">
        <f>+AP70-AO70</f>
        <v>64.068958100168871</v>
      </c>
      <c r="AQ98" s="50">
        <v>446.79700000000003</v>
      </c>
      <c r="AR98" s="50">
        <f>+AR70-AQ70</f>
        <v>79.834053605666128</v>
      </c>
      <c r="AS98" s="50">
        <f>+AS70</f>
        <v>145.61244848869097</v>
      </c>
      <c r="AT98" s="50">
        <f t="shared" si="110"/>
        <v>64.249465848373262</v>
      </c>
      <c r="AU98" s="50">
        <f t="shared" si="110"/>
        <v>45.090160638972691</v>
      </c>
      <c r="AV98" s="50">
        <f t="shared" si="110"/>
        <v>-5.470660107930911</v>
      </c>
    </row>
    <row r="99" spans="1:48" x14ac:dyDescent="0.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</row>
    <row r="100" spans="1:48" x14ac:dyDescent="0.2">
      <c r="AT100" s="88"/>
      <c r="AU100" s="88"/>
    </row>
    <row r="101" spans="1:48" ht="20.100000000000001" customHeight="1" x14ac:dyDescent="0.2">
      <c r="B101" s="34" t="s">
        <v>183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x14ac:dyDescent="0.2">
      <c r="B102" s="36" t="s">
        <v>132</v>
      </c>
      <c r="C102" s="37" t="s">
        <v>84</v>
      </c>
      <c r="D102" s="37">
        <v>2008</v>
      </c>
      <c r="E102" s="37" t="s">
        <v>85</v>
      </c>
      <c r="F102" s="37" t="s">
        <v>86</v>
      </c>
      <c r="G102" s="37" t="s">
        <v>87</v>
      </c>
      <c r="H102" s="37">
        <v>2009</v>
      </c>
      <c r="I102" s="37" t="s">
        <v>88</v>
      </c>
      <c r="J102" s="37" t="s">
        <v>89</v>
      </c>
      <c r="K102" s="37" t="s">
        <v>90</v>
      </c>
      <c r="L102" s="37">
        <v>2010</v>
      </c>
      <c r="M102" s="37" t="s">
        <v>91</v>
      </c>
      <c r="N102" s="37" t="s">
        <v>92</v>
      </c>
      <c r="O102" s="37" t="s">
        <v>93</v>
      </c>
      <c r="P102" s="37">
        <v>2011</v>
      </c>
      <c r="Q102" s="37" t="s">
        <v>94</v>
      </c>
      <c r="R102" s="37" t="s">
        <v>95</v>
      </c>
      <c r="S102" s="37" t="s">
        <v>96</v>
      </c>
      <c r="T102" s="37">
        <v>2012</v>
      </c>
      <c r="U102" s="37" t="s">
        <v>97</v>
      </c>
      <c r="V102" s="37" t="s">
        <v>98</v>
      </c>
      <c r="W102" s="37" t="s">
        <v>99</v>
      </c>
      <c r="X102" s="37">
        <v>2013</v>
      </c>
      <c r="Y102" s="37" t="s">
        <v>100</v>
      </c>
      <c r="Z102" s="37" t="s">
        <v>101</v>
      </c>
      <c r="AA102" s="37" t="s">
        <v>102</v>
      </c>
      <c r="AB102" s="37">
        <v>2014</v>
      </c>
      <c r="AC102" s="37" t="s">
        <v>103</v>
      </c>
      <c r="AD102" s="37" t="s">
        <v>104</v>
      </c>
      <c r="AE102" s="37" t="s">
        <v>105</v>
      </c>
      <c r="AF102" s="37">
        <v>2015</v>
      </c>
      <c r="AG102" s="37" t="s">
        <v>106</v>
      </c>
      <c r="AH102" s="37" t="s">
        <v>107</v>
      </c>
      <c r="AI102" s="37" t="s">
        <v>108</v>
      </c>
      <c r="AJ102" s="37">
        <v>2016</v>
      </c>
      <c r="AK102" s="37" t="s">
        <v>109</v>
      </c>
      <c r="AL102" s="37" t="s">
        <v>110</v>
      </c>
      <c r="AM102" s="37" t="s">
        <v>111</v>
      </c>
      <c r="AN102" s="37">
        <v>2017</v>
      </c>
      <c r="AO102" s="37" t="s">
        <v>112</v>
      </c>
      <c r="AP102" s="37" t="s">
        <v>113</v>
      </c>
      <c r="AQ102" s="37" t="s">
        <v>114</v>
      </c>
      <c r="AR102" s="37">
        <v>2018</v>
      </c>
      <c r="AS102" s="37" t="s">
        <v>187</v>
      </c>
      <c r="AT102" s="37" t="s">
        <v>190</v>
      </c>
      <c r="AU102" s="37" t="s">
        <v>192</v>
      </c>
      <c r="AV102" s="37">
        <v>2019</v>
      </c>
    </row>
    <row r="103" spans="1:48" ht="15" customHeight="1" x14ac:dyDescent="0.2">
      <c r="B103" s="26" t="s">
        <v>11</v>
      </c>
      <c r="C103" s="13">
        <f>'Financial Data - Old Segment'!C161/'Financial Data - Old Seg -USD'!C$10</f>
        <v>50.426716200000001</v>
      </c>
      <c r="D103" s="13">
        <f>'Financial Data - Old Segment'!D161/'Financial Data - Old Seg -USD'!D$10</f>
        <v>68.225070999999986</v>
      </c>
      <c r="E103" s="13">
        <f>'Financial Data - Old Segment'!E161/'Financial Data - Old Seg -USD'!E$10</f>
        <v>4.3354776065056413</v>
      </c>
      <c r="F103" s="13">
        <f>'Financial Data - Old Segment'!F161/'Financial Data - Old Seg -USD'!F$10</f>
        <v>5.2976861467482097</v>
      </c>
      <c r="G103" s="13">
        <f>'Financial Data - Old Segment'!G161/'Financial Data - Old Seg -USD'!G$10</f>
        <v>8.2308825080000005</v>
      </c>
      <c r="H103" s="13">
        <f>'Financial Data - Old Segment'!H161/'Financial Data - Old Seg -USD'!H$10</f>
        <v>17.132174241000001</v>
      </c>
      <c r="I103" s="13">
        <f>'Financial Data - Old Segment'!I161/'Financial Data - Old Seg -USD'!I$10</f>
        <v>2.8270292600000002</v>
      </c>
      <c r="J103" s="13">
        <f>'Financial Data - Old Segment'!J161/'Financial Data - Old Seg -USD'!J$10</f>
        <v>11.587793364000001</v>
      </c>
      <c r="K103" s="13">
        <f>'Financial Data - Old Segment'!K161/'Financial Data - Old Seg -USD'!K$10</f>
        <v>13.076996221</v>
      </c>
      <c r="L103" s="13">
        <f>'Financial Data - Old Segment'!L161/'Financial Data - Old Seg -USD'!L$10</f>
        <v>20.035411094000001</v>
      </c>
      <c r="M103" s="13">
        <f>'Financial Data - Old Segment'!M161/'Financial Data - Old Seg -USD'!M$10</f>
        <v>6.6977578800000002</v>
      </c>
      <c r="N103" s="13">
        <f>'Financial Data - Old Segment'!N161/'Financial Data - Old Seg -USD'!N$10</f>
        <v>13.126392194999999</v>
      </c>
      <c r="O103" s="13">
        <f>'Financial Data - Old Segment'!O161/'Financial Data - Old Seg -USD'!O$10</f>
        <v>28.404311649</v>
      </c>
      <c r="P103" s="13">
        <f>'Financial Data - Old Segment'!P161/'Financial Data - Old Seg -USD'!P$10</f>
        <v>46.955974263999998</v>
      </c>
      <c r="Q103" s="13">
        <f>'Financial Data - Old Segment'!Q161/'Financial Data - Old Seg -USD'!Q$10</f>
        <v>22.51073748</v>
      </c>
      <c r="R103" s="13">
        <f>'Financial Data - Old Segment'!R161/'Financial Data - Old Seg -USD'!R$10</f>
        <v>56.381377280000002</v>
      </c>
      <c r="S103" s="13">
        <f>'Financial Data - Old Segment'!S161/'Financial Data - Old Seg -USD'!S$10</f>
        <v>67.876991535000002</v>
      </c>
      <c r="T103" s="13">
        <f>'Financial Data - Old Segment'!T161/'Financial Data - Old Seg -USD'!T$10</f>
        <v>79.593732504000002</v>
      </c>
      <c r="U103" s="13">
        <f>'Financial Data - Old Segment'!U161/'Financial Data - Old Seg -USD'!U$10</f>
        <v>3.3157328089999996</v>
      </c>
      <c r="V103" s="13">
        <f>'Financial Data - Old Segment'!V161/'Financial Data - Old Seg -USD'!V$10</f>
        <v>7.3912322405882005</v>
      </c>
      <c r="W103" s="13">
        <f>'Financial Data - Old Segment'!W161/'Financial Data - Old Seg -USD'!W$10</f>
        <v>10.168570554999999</v>
      </c>
      <c r="X103" s="13">
        <f>'Financial Data - Old Segment'!X161/'Financial Data - Old Seg -USD'!X$10</f>
        <v>12.997419413999999</v>
      </c>
      <c r="Y103" s="13">
        <f>'Financial Data - Old Segment'!Y161/'Financial Data - Old Seg -USD'!Y$10</f>
        <v>6.3049760679129365</v>
      </c>
      <c r="Z103" s="13">
        <f>'Financial Data - Old Segment'!Z161/'Financial Data - Old Seg -USD'!Z$10</f>
        <v>8.0586249942207289</v>
      </c>
      <c r="AA103" s="13">
        <f>'Financial Data - Old Segment'!AA161/'Financial Data - Old Seg -USD'!AA$10</f>
        <v>9.0378388380053565</v>
      </c>
      <c r="AB103" s="13">
        <f>'Financial Data - Old Segment'!AB161/'Financial Data - Old Seg -USD'!AB$10</f>
        <v>12.370912417104961</v>
      </c>
      <c r="AC103" s="13">
        <f>'Financial Data - Old Segment'!AC161/'Financial Data - Old Seg -USD'!AC$10</f>
        <v>2.107362337715192</v>
      </c>
      <c r="AD103" s="13">
        <f>'Financial Data - Old Segment'!AD161/'Financial Data - Old Seg -USD'!AD$10</f>
        <v>3.7670813180000002</v>
      </c>
      <c r="AE103" s="13">
        <f>'Financial Data - Old Segment'!AE161/'Financial Data - Old Seg -USD'!AE$10</f>
        <v>5.8884873127023578</v>
      </c>
      <c r="AF103" s="13">
        <f>'Financial Data - Old Segment'!AF161/'Financial Data - Old Seg -USD'!AF$10</f>
        <v>6.3583538670883764</v>
      </c>
      <c r="AG103" s="13">
        <f>'Financial Data - Old Segment'!AG161/'Financial Data - Old Seg -USD'!AG$10</f>
        <v>0.92896732292835416</v>
      </c>
      <c r="AH103" s="13">
        <f>'Financial Data - Old Segment'!AH161/'Financial Data - Old Seg -USD'!AH$10</f>
        <v>2.5256179300000001</v>
      </c>
      <c r="AI103" s="13">
        <f>'Financial Data - Old Segment'!AI161/'Financial Data - Old Seg -USD'!AI$10</f>
        <v>4.398307687058578</v>
      </c>
      <c r="AJ103" s="13">
        <f>'Financial Data - Old Segment'!AJ161/'Financial Data - Old Seg -USD'!AJ$10</f>
        <v>15.151916768828052</v>
      </c>
      <c r="AK103" s="13">
        <f>'Financial Data - Old Segment'!AK161/'Financial Data - Old Seg -USD'!AK$10</f>
        <v>5.8308058925476578</v>
      </c>
      <c r="AL103" s="13">
        <f>'Financial Data - Old Segment'!AL161/'Financial Data - Old Seg -USD'!AL$10</f>
        <v>13.477005171085914</v>
      </c>
      <c r="AM103" s="13">
        <f>'Financial Data - Old Segment'!AM161/'Financial Data - Old Seg -USD'!AM$10</f>
        <v>18.537678094390039</v>
      </c>
      <c r="AN103" s="13">
        <f>'Financial Data - Old Segment'!AN161/'Financial Data - Old Seg -USD'!AN$10</f>
        <v>46.079023185622226</v>
      </c>
      <c r="AO103" s="13">
        <f>'Financial Data - Old Segment'!AO161/'Financial Data - Old Seg -USD'!AO$10</f>
        <v>9.2240247808053883</v>
      </c>
      <c r="AP103" s="13">
        <f>'Financial Data - Old Segment'!AP161/'Financial Data - Old Seg -USD'!AP$10</f>
        <v>15.031815956926073</v>
      </c>
      <c r="AQ103" s="13">
        <f>'Financial Data - Old Segment'!AQ161/'Financial Data - Old Seg -USD'!AQ$10</f>
        <v>28.737940026075623</v>
      </c>
      <c r="AR103" s="13">
        <f>'Financial Data - Old Segment'!AR161/'Financial Data - Old Seg -USD'!AR$10</f>
        <v>38.621146560112614</v>
      </c>
      <c r="AS103" s="13">
        <f>'Financial Data - Old Segment'!AS161/'Financial Data - Old Seg -USD'!AS$10</f>
        <v>6.0622051501985936</v>
      </c>
      <c r="AT103" s="13">
        <f>'Financial Data - Old Segment'!AT161/'Financial Data - Old Seg -USD'!AT$10</f>
        <v>9.2323433635247429</v>
      </c>
      <c r="AU103" s="13">
        <f>'Financial Data - Old Segment'!AU161/'Financial Data - Old Seg -USD'!AU$10</f>
        <v>11.360893180446565</v>
      </c>
      <c r="AV103" s="13">
        <f>'Financial Data - Old Segment'!AV161/'Financial Data - Old Seg -USD'!AV$10</f>
        <v>18.994216391592648</v>
      </c>
    </row>
    <row r="104" spans="1:48" ht="15" customHeight="1" x14ac:dyDescent="0.2">
      <c r="B104" s="26" t="s">
        <v>147</v>
      </c>
      <c r="C104" s="13">
        <f>'Financial Data - Old Segment'!C162/'Financial Data - Old Seg -USD'!C$10</f>
        <v>6.6157332000000011</v>
      </c>
      <c r="D104" s="13">
        <f>'Financial Data - Old Segment'!D162/'Financial Data - Old Seg -USD'!D$10</f>
        <v>13.307491399999998</v>
      </c>
      <c r="E104" s="13">
        <f>'Financial Data - Old Segment'!E162/'Financial Data - Old Seg -USD'!E$10</f>
        <v>0.3022211433426385</v>
      </c>
      <c r="F104" s="13">
        <f>'Financial Data - Old Segment'!F162/'Financial Data - Old Seg -USD'!F$10</f>
        <v>1.8622244978576472</v>
      </c>
      <c r="G104" s="13">
        <f>'Financial Data - Old Segment'!G162/'Financial Data - Old Seg -USD'!G$10</f>
        <v>9.4040799140000004</v>
      </c>
      <c r="H104" s="13">
        <f>'Financial Data - Old Segment'!H162/'Financial Data - Old Seg -USD'!H$10</f>
        <v>9.8803883920000004</v>
      </c>
      <c r="I104" s="13">
        <f>'Financial Data - Old Segment'!I162/'Financial Data - Old Seg -USD'!I$10</f>
        <v>2.6172991099999998</v>
      </c>
      <c r="J104" s="13">
        <f>'Financial Data - Old Segment'!J162/'Financial Data - Old Seg -USD'!J$10</f>
        <v>3.4570151279999997</v>
      </c>
      <c r="K104" s="13">
        <f>'Financial Data - Old Segment'!K162/'Financial Data - Old Seg -USD'!K$10</f>
        <v>4.7411623590000005</v>
      </c>
      <c r="L104" s="13">
        <f>'Financial Data - Old Segment'!L162/'Financial Data - Old Seg -USD'!L$10</f>
        <v>6.8029940180000006</v>
      </c>
      <c r="M104" s="13">
        <f>'Financial Data - Old Segment'!M162/'Financial Data - Old Seg -USD'!M$10</f>
        <v>0.33870790800000006</v>
      </c>
      <c r="N104" s="13">
        <f>'Financial Data - Old Segment'!N162/'Financial Data - Old Seg -USD'!N$10</f>
        <v>1.9071661350000002</v>
      </c>
      <c r="O104" s="13">
        <f>'Financial Data - Old Segment'!O162/'Financial Data - Old Seg -USD'!O$10</f>
        <v>3.4732105800000004</v>
      </c>
      <c r="P104" s="13">
        <f>'Financial Data - Old Segment'!P162/'Financial Data - Old Seg -USD'!P$10</f>
        <v>6.8027328560000004</v>
      </c>
      <c r="Q104" s="13">
        <f>'Financial Data - Old Segment'!Q162/'Financial Data - Old Seg -USD'!Q$10</f>
        <v>3.9175342799999999</v>
      </c>
      <c r="R104" s="13">
        <f>'Financial Data - Old Segment'!R162/'Financial Data - Old Seg -USD'!R$10</f>
        <v>6.0284360279999998</v>
      </c>
      <c r="S104" s="13">
        <f>'Financial Data - Old Segment'!S162/'Financial Data - Old Seg -USD'!S$10</f>
        <v>12.820187702</v>
      </c>
      <c r="T104" s="13">
        <f>'Financial Data - Old Segment'!T162/'Financial Data - Old Seg -USD'!T$10</f>
        <v>27.864055674000006</v>
      </c>
      <c r="U104" s="13">
        <f>'Financial Data - Old Segment'!U162/'Financial Data - Old Seg -USD'!U$10</f>
        <v>3.7476824159999995</v>
      </c>
      <c r="V104" s="13">
        <f>'Financial Data - Old Segment'!V162/'Financial Data - Old Seg -USD'!V$10</f>
        <v>21.993476698546072</v>
      </c>
      <c r="W104" s="13">
        <f>'Financial Data - Old Segment'!W162/'Financial Data - Old Seg -USD'!W$10</f>
        <v>41.688401315</v>
      </c>
      <c r="X104" s="13">
        <f>'Financial Data - Old Segment'!X162/'Financial Data - Old Seg -USD'!X$10</f>
        <v>83.218055766999996</v>
      </c>
      <c r="Y104" s="13">
        <f>'Financial Data - Old Segment'!Y162/'Financial Data - Old Seg -USD'!Y$10</f>
        <v>35.668292242391374</v>
      </c>
      <c r="Z104" s="13">
        <f>'Financial Data - Old Segment'!Z162/'Financial Data - Old Seg -USD'!Z$10</f>
        <v>96.005825512044098</v>
      </c>
      <c r="AA104" s="13">
        <f>'Financial Data - Old Segment'!AA162/'Financial Data - Old Seg -USD'!AA$10</f>
        <v>138.0590248866684</v>
      </c>
      <c r="AB104" s="13">
        <f>'Financial Data - Old Segment'!AB162/'Financial Data - Old Seg -USD'!AB$10</f>
        <v>169.76995197804709</v>
      </c>
      <c r="AC104" s="13">
        <f>'Financial Data - Old Segment'!AC162/'Financial Data - Old Seg -USD'!AC$10</f>
        <v>30.771641365837763</v>
      </c>
      <c r="AD104" s="13">
        <f>'Financial Data - Old Segment'!AD162/'Financial Data - Old Seg -USD'!AD$10</f>
        <v>56.495675379000005</v>
      </c>
      <c r="AE104" s="13">
        <f>'Financial Data - Old Segment'!AE162/'Financial Data - Old Seg -USD'!AE$10</f>
        <v>95.675777426398625</v>
      </c>
      <c r="AF104" s="13">
        <f>'Financial Data - Old Segment'!AF162/'Financial Data - Old Seg -USD'!AF$10</f>
        <v>101.13934757824281</v>
      </c>
      <c r="AG104" s="13">
        <f>'Financial Data - Old Segment'!AG162/'Financial Data - Old Seg -USD'!AG$10</f>
        <v>11.442075555102164</v>
      </c>
      <c r="AH104" s="13">
        <f>'Financial Data - Old Segment'!AH162/'Financial Data - Old Seg -USD'!AH$10</f>
        <v>24.984769612000001</v>
      </c>
      <c r="AI104" s="13">
        <f>'Financial Data - Old Segment'!AI162/'Financial Data - Old Seg -USD'!AI$10</f>
        <v>29.563274079634208</v>
      </c>
      <c r="AJ104" s="13">
        <f>'Financial Data - Old Segment'!AJ162/'Financial Data - Old Seg -USD'!AJ$10</f>
        <v>39.754812630462823</v>
      </c>
      <c r="AK104" s="13">
        <f>'Financial Data - Old Segment'!AK162/'Financial Data - Old Seg -USD'!AK$10</f>
        <v>1.3344887348353547</v>
      </c>
      <c r="AL104" s="13">
        <f>'Financial Data - Old Segment'!AL162/'Financial Data - Old Seg -USD'!AL$10</f>
        <v>9.4779403674771601</v>
      </c>
      <c r="AM104" s="13">
        <f>'Financial Data - Old Segment'!AM162/'Financial Data - Old Seg -USD'!AM$10</f>
        <v>11.772873998219064</v>
      </c>
      <c r="AN104" s="13">
        <f>'Financial Data - Old Segment'!AN162/'Financial Data - Old Seg -USD'!AN$10</f>
        <v>16.761421319796977</v>
      </c>
      <c r="AO104" s="13">
        <f>'Financial Data - Old Segment'!AO162/'Financial Data - Old Seg -USD'!AO$10</f>
        <v>0.35228644930960307</v>
      </c>
      <c r="AP104" s="13">
        <f>'Financial Data - Old Segment'!AP162/'Financial Data - Old Seg -USD'!AP$10</f>
        <v>3.7055800293685714</v>
      </c>
      <c r="AQ104" s="13">
        <f>'Financial Data - Old Segment'!AQ162/'Financial Data - Old Seg -USD'!AQ$10</f>
        <v>9.4726205997392459</v>
      </c>
      <c r="AR104" s="13">
        <f>'Financial Data - Old Segment'!AR162/'Financial Data - Old Seg -USD'!AR$10</f>
        <v>14.811701621084445</v>
      </c>
      <c r="AS104" s="13">
        <f>'Financial Data - Old Segment'!AS162/'Financial Data - Old Seg -USD'!AS$10</f>
        <v>4.5924779503626816</v>
      </c>
      <c r="AT104" s="13">
        <f>'Financial Data - Old Segment'!AT162/'Financial Data - Old Seg -USD'!AT$10</f>
        <v>9.6622595512215934</v>
      </c>
      <c r="AU104" s="13">
        <f>'Financial Data - Old Segment'!AU162/'Financial Data - Old Seg -USD'!AU$10</f>
        <v>15.650360325180129</v>
      </c>
      <c r="AV104" s="13">
        <f>'Financial Data - Old Segment'!AV162/'Financial Data - Old Seg -USD'!AV$10</f>
        <v>29.441211736493223</v>
      </c>
    </row>
    <row r="105" spans="1:48" ht="15" customHeight="1" x14ac:dyDescent="0.2">
      <c r="B105" s="26" t="s">
        <v>149</v>
      </c>
      <c r="C105" s="13">
        <f>'Financial Data - Old Segment'!C163/'Financial Data - Old Seg -USD'!C$10</f>
        <v>7.2390852000000008</v>
      </c>
      <c r="D105" s="13">
        <f>'Financial Data - Old Segment'!D163/'Financial Data - Old Seg -USD'!D$10</f>
        <v>12.155444399999999</v>
      </c>
      <c r="E105" s="13">
        <f>'Financial Data - Old Segment'!E163/'Financial Data - Old Seg -USD'!E$10</f>
        <v>6.1900716106323542E-2</v>
      </c>
      <c r="F105" s="13">
        <f>'Financial Data - Old Segment'!F163/'Financial Data - Old Seg -USD'!F$10</f>
        <v>0.13016886958269172</v>
      </c>
      <c r="G105" s="13">
        <f>'Financial Data - Old Segment'!G163/'Financial Data - Old Seg -USD'!G$10</f>
        <v>0.41211828400000006</v>
      </c>
      <c r="H105" s="13">
        <f>'Financial Data - Old Segment'!H163/'Financial Data - Old Seg -USD'!H$10</f>
        <v>0.44575612899999995</v>
      </c>
      <c r="I105" s="13">
        <f>'Financial Data - Old Segment'!I163/'Financial Data - Old Seg -USD'!I$10</f>
        <v>1.398201E-2</v>
      </c>
      <c r="J105" s="13">
        <f>'Financial Data - Old Segment'!J163/'Financial Data - Old Seg -USD'!J$10</f>
        <v>0.109474344</v>
      </c>
      <c r="K105" s="13">
        <f>'Financial Data - Old Segment'!K163/'Financial Data - Old Seg -USD'!K$10</f>
        <v>0.12151746400000001</v>
      </c>
      <c r="L105" s="13">
        <f>'Financial Data - Old Segment'!L163/'Financial Data - Old Seg -USD'!L$10</f>
        <v>0.142757474</v>
      </c>
      <c r="M105" s="13">
        <f>'Financial Data - Old Segment'!M163/'Financial Data - Old Seg -USD'!M$10</f>
        <v>6.3666900000000004E-3</v>
      </c>
      <c r="N105" s="13">
        <f>'Financial Data - Old Segment'!N163/'Financial Data - Old Seg -USD'!N$10</f>
        <v>3.7082010000000006E-2</v>
      </c>
      <c r="O105" s="13">
        <f>'Financial Data - Old Segment'!O163/'Financial Data - Old Seg -USD'!O$10</f>
        <v>0.12236578200000002</v>
      </c>
      <c r="P105" s="13">
        <f>'Financial Data - Old Segment'!P163/'Financial Data - Old Seg -USD'!P$10</f>
        <v>0.153220096</v>
      </c>
      <c r="Q105" s="13">
        <f>'Financial Data - Old Segment'!Q163/'Financial Data - Old Seg -USD'!Q$10</f>
        <v>3.408009E-2</v>
      </c>
      <c r="R105" s="13">
        <f>'Financial Data - Old Segment'!R163/'Financial Data - Old Seg -USD'!R$10</f>
        <v>0.143852802</v>
      </c>
      <c r="S105" s="13">
        <f>'Financial Data - Old Segment'!S163/'Financial Data - Old Seg -USD'!S$10</f>
        <v>0.14379655800000002</v>
      </c>
      <c r="T105" s="13">
        <f>'Financial Data - Old Segment'!T163/'Financial Data - Old Seg -USD'!T$10</f>
        <v>0.18189919800000004</v>
      </c>
      <c r="U105" s="13">
        <f>'Financial Data - Old Segment'!U163/'Financial Data - Old Seg -USD'!U$10</f>
        <v>2.4153228999999995E-2</v>
      </c>
      <c r="V105" s="13">
        <f>'Financial Data - Old Segment'!V163/'Financial Data - Old Seg -USD'!V$10</f>
        <v>0.14815633810603127</v>
      </c>
      <c r="W105" s="13">
        <f>'Financial Data - Old Segment'!W163/'Financial Data - Old Seg -USD'!W$10</f>
        <v>0.17018303500000001</v>
      </c>
      <c r="X105" s="13">
        <f>'Financial Data - Old Segment'!X163/'Financial Data - Old Seg -USD'!X$10</f>
        <v>0.18704346799999999</v>
      </c>
      <c r="Y105" s="13">
        <f>'Financial Data - Old Segment'!Y163/'Financial Data - Old Seg -USD'!Y$10</f>
        <v>4.199403955567594E-2</v>
      </c>
      <c r="Z105" s="13">
        <f>'Financial Data - Old Segment'!Z163/'Financial Data - Old Seg -USD'!Z$10</f>
        <v>0.15765869896897697</v>
      </c>
      <c r="AA105" s="13">
        <f>'Financial Data - Old Segment'!AA163/'Financial Data - Old Seg -USD'!AA$10</f>
        <v>0.45702655194745073</v>
      </c>
      <c r="AB105" s="13">
        <f>'Financial Data - Old Segment'!AB163/'Financial Data - Old Seg -USD'!AB$10</f>
        <v>1.1863709124171049</v>
      </c>
      <c r="AC105" s="13">
        <f>'Financial Data - Old Segment'!AC163/'Financial Data - Old Seg -USD'!AC$10</f>
        <v>0.18029384233445925</v>
      </c>
      <c r="AD105" s="13">
        <f>'Financial Data - Old Segment'!AD163/'Financial Data - Old Seg -USD'!AD$10</f>
        <v>0.27298256700000001</v>
      </c>
      <c r="AE105" s="13">
        <f>'Financial Data - Old Segment'!AE163/'Financial Data - Old Seg -USD'!AE$10</f>
        <v>0.57488140953241473</v>
      </c>
      <c r="AF105" s="13">
        <f>'Financial Data - Old Segment'!AF163/'Financial Data - Old Seg -USD'!AF$10</f>
        <v>0.70869037549189084</v>
      </c>
      <c r="AG105" s="13">
        <f>'Financial Data - Old Segment'!AG163/'Financial Data - Old Seg -USD'!AG$10</f>
        <v>4.7264442857628562E-2</v>
      </c>
      <c r="AH105" s="13">
        <f>'Financial Data - Old Segment'!AH163/'Financial Data - Old Seg -USD'!AH$10</f>
        <v>12.835416494999999</v>
      </c>
      <c r="AI105" s="13">
        <f>'Financial Data - Old Segment'!AI163/'Financial Data - Old Seg -USD'!AI$10</f>
        <v>13.163192193524157</v>
      </c>
      <c r="AJ105" s="13">
        <f>'Financial Data - Old Segment'!AJ163/'Financial Data - Old Seg -USD'!AJ$10</f>
        <v>0.85384844769888235</v>
      </c>
      <c r="AK105" s="13">
        <f>'Financial Data - Old Segment'!AK163/'Financial Data - Old Seg -USD'!AK$10</f>
        <v>8.6113518197573624E-2</v>
      </c>
      <c r="AL105" s="13">
        <f>'Financial Data - Old Segment'!AL163/'Financial Data - Old Seg -USD'!AL$10</f>
        <v>9.5720101221256362E-2</v>
      </c>
      <c r="AM105" s="13">
        <f>'Financial Data - Old Segment'!AM163/'Financial Data - Old Seg -USD'!AM$10</f>
        <v>0.13857969723953703</v>
      </c>
      <c r="AN105" s="13">
        <f>'Financial Data - Old Segment'!AN163/'Financial Data - Old Seg -USD'!AN$10</f>
        <v>0.17615585128275507</v>
      </c>
      <c r="AO105" s="13">
        <f>'Financial Data - Old Segment'!AO163/'Financial Data - Old Seg -USD'!AO$10</f>
        <v>7.4289914422218814E-2</v>
      </c>
      <c r="AP105" s="13">
        <f>'Financial Data - Old Segment'!AP163/'Financial Data - Old Seg -USD'!AP$10</f>
        <v>0.10866372980910413</v>
      </c>
      <c r="AQ105" s="13">
        <f>'Financial Data - Old Segment'!AQ163/'Financial Data - Old Seg -USD'!AQ$10</f>
        <v>0.11734028683181227</v>
      </c>
      <c r="AR105" s="13">
        <f>'Financial Data - Old Segment'!AR163/'Financial Data - Old Seg -USD'!AR$10</f>
        <v>0.11407631311981116</v>
      </c>
      <c r="AS105" s="13">
        <f>'Financial Data - Old Segment'!AS163/'Financial Data - Old Seg -USD'!AS$10</f>
        <v>8.3909824908165436E-3</v>
      </c>
      <c r="AT105" s="13">
        <f>'Financial Data - Old Segment'!AT163/'Financial Data - Old Seg -USD'!AT$10</f>
        <v>8.5413812125202399E-3</v>
      </c>
      <c r="AU105" s="13">
        <f>'Financial Data - Old Segment'!AU163/'Financial Data - Old Seg -USD'!AU$10</f>
        <v>9.4075047037523313E-3</v>
      </c>
      <c r="AV105" s="93"/>
    </row>
    <row r="106" spans="1:48" ht="15" customHeight="1" x14ac:dyDescent="0.2">
      <c r="B106" s="26" t="s">
        <v>148</v>
      </c>
      <c r="C106" s="13">
        <f>'Financial Data - Old Segment'!C164/'Financial Data - Old Seg -USD'!C$10</f>
        <v>4.4553264000000006</v>
      </c>
      <c r="D106" s="13">
        <f>'Financial Data - Old Segment'!D164/'Financial Data - Old Seg -USD'!D$10</f>
        <v>9.1007859999999994</v>
      </c>
      <c r="E106" s="13">
        <f>'Financial Data - Old Segment'!E164/'Financial Data - Old Seg -USD'!E$10</f>
        <v>5.0370190557106419E-2</v>
      </c>
      <c r="F106" s="13">
        <f>'Financial Data - Old Segment'!F164/'Financial Data - Old Seg -USD'!F$10</f>
        <v>0.3531375552793598</v>
      </c>
      <c r="G106" s="13">
        <f>'Financial Data - Old Segment'!G164/'Financial Data - Old Seg -USD'!G$10</f>
        <v>0.52439818800000004</v>
      </c>
      <c r="H106" s="13">
        <f>'Financial Data - Old Segment'!H164/'Financial Data - Old Seg -USD'!H$10</f>
        <v>0.57320744599999995</v>
      </c>
      <c r="I106" s="13">
        <f>'Financial Data - Old Segment'!I164/'Financial Data - Old Seg -USD'!I$10</f>
        <v>8.6681803899999998</v>
      </c>
      <c r="J106" s="13">
        <f>'Financial Data - Old Segment'!J164/'Financial Data - Old Seg -USD'!J$10</f>
        <v>8.6464947240000001</v>
      </c>
      <c r="K106" s="13">
        <f>'Financial Data - Old Segment'!K164/'Financial Data - Old Seg -USD'!K$10</f>
        <v>8.7452948820000014</v>
      </c>
      <c r="L106" s="13">
        <f>'Financial Data - Old Segment'!L164/'Financial Data - Old Seg -USD'!L$10</f>
        <v>8.998390499000001</v>
      </c>
      <c r="M106" s="13">
        <f>'Financial Data - Old Segment'!M164/'Financial Data - Old Seg -USD'!M$10</f>
        <v>0.14388719400000002</v>
      </c>
      <c r="N106" s="13">
        <f>'Financial Data - Old Segment'!N164/'Financial Data - Old Seg -USD'!N$10</f>
        <v>0.65596797000000007</v>
      </c>
      <c r="O106" s="13">
        <f>'Financial Data - Old Segment'!O164/'Financial Data - Old Seg -USD'!O$10</f>
        <v>2.7062614109999998</v>
      </c>
      <c r="P106" s="13">
        <f>'Financial Data - Old Segment'!P164/'Financial Data - Old Seg -USD'!P$10</f>
        <v>3.8550415560000002</v>
      </c>
      <c r="Q106" s="13">
        <f>'Financial Data - Old Segment'!Q164/'Financial Data - Old Seg -USD'!Q$10</f>
        <v>5.5310310000000001E-2</v>
      </c>
      <c r="R106" s="13">
        <f>'Financial Data - Old Segment'!R164/'Financial Data - Old Seg -USD'!R$10</f>
        <v>0.169500976</v>
      </c>
      <c r="S106" s="13">
        <f>'Financial Data - Old Segment'!S164/'Financial Data - Old Seg -USD'!S$10</f>
        <v>0.173893512</v>
      </c>
      <c r="T106" s="13">
        <f>'Financial Data - Old Segment'!T164/'Financial Data - Old Seg -USD'!T$10</f>
        <v>0.23546460600000002</v>
      </c>
      <c r="U106" s="13">
        <f>'Financial Data - Old Segment'!U164/'Financial Data - Old Seg -USD'!U$10</f>
        <v>2.808515E-2</v>
      </c>
      <c r="V106" s="13">
        <f>'Financial Data - Old Segment'!V164/'Financial Data - Old Seg -USD'!V$10</f>
        <v>0.31621427386809653</v>
      </c>
      <c r="W106" s="13">
        <f>'Financial Data - Old Segment'!W164/'Financial Data - Old Seg -USD'!W$10</f>
        <v>0.32211299999999998</v>
      </c>
      <c r="X106" s="13">
        <f>'Financial Data - Old Segment'!X164/'Financial Data - Old Seg -USD'!X$10</f>
        <v>0.33783412899999998</v>
      </c>
      <c r="Y106" s="13">
        <f>'Financial Data - Old Segment'!Y164/'Financial Data - Old Seg -USD'!Y$10</f>
        <v>0.11830578885577522</v>
      </c>
      <c r="Z106" s="13">
        <f>'Financial Data - Old Segment'!Z164/'Financial Data - Old Seg -USD'!Z$10</f>
        <v>0.18031346802903525</v>
      </c>
      <c r="AA106" s="13">
        <f>'Financial Data - Old Segment'!AA164/'Financial Data - Old Seg -USD'!AA$10</f>
        <v>0.18503099269127563</v>
      </c>
      <c r="AB106" s="13">
        <f>'Financial Data - Old Segment'!AB164/'Financial Data - Old Seg -USD'!AB$10</f>
        <v>0.281728790304139</v>
      </c>
      <c r="AC106" s="13">
        <f>'Financial Data - Old Segment'!AC164/'Financial Data - Old Seg -USD'!AC$10</f>
        <v>4.6803141915265946E-2</v>
      </c>
      <c r="AD106" s="13">
        <f>'Financial Data - Old Segment'!AD164/'Financial Data - Old Seg -USD'!AD$10</f>
        <v>0.33312464899999999</v>
      </c>
      <c r="AE106" s="13">
        <f>'Financial Data - Old Segment'!AE164/'Financial Data - Old Seg -USD'!AE$10</f>
        <v>0.57262254348317143</v>
      </c>
      <c r="AF106" s="13">
        <f>'Financial Data - Old Segment'!AF164/'Financial Data - Old Seg -USD'!AF$10</f>
        <v>0.68368210069508306</v>
      </c>
      <c r="AG106" s="13">
        <f>'Financial Data - Old Segment'!AG164/'Financial Data - Old Seg -USD'!AG$10</f>
        <v>1.9041789928253231E-2</v>
      </c>
      <c r="AH106" s="13">
        <f>'Financial Data - Old Segment'!AH164/'Financial Data - Old Seg -USD'!AH$10</f>
        <v>0.206641467</v>
      </c>
      <c r="AI106" s="13">
        <f>'Financial Data - Old Segment'!AI164/'Financial Data - Old Seg -USD'!AI$10</f>
        <v>0.21392746255416401</v>
      </c>
      <c r="AJ106" s="13">
        <f>'Financial Data - Old Segment'!AJ164/'Financial Data - Old Seg -USD'!AJ$10</f>
        <v>0.45127729366157465</v>
      </c>
      <c r="AK106" s="13">
        <f>'Financial Data - Old Segment'!AK164/'Financial Data - Old Seg -USD'!AK$10</f>
        <v>3.4391247833622171E-2</v>
      </c>
      <c r="AL106" s="13">
        <f>'Financial Data - Old Segment'!AL164/'Financial Data - Old Seg -USD'!AL$10</f>
        <v>0.49235339421278418</v>
      </c>
      <c r="AM106" s="13">
        <f>'Financial Data - Old Segment'!AM164/'Financial Data - Old Seg -USD'!AM$10</f>
        <v>0.5843722172751562</v>
      </c>
      <c r="AN106" s="13">
        <f>'Financial Data - Old Segment'!AN164/'Financial Data - Old Seg -USD'!AN$10</f>
        <v>0.84154204966387813</v>
      </c>
      <c r="AO106" s="13">
        <f>'Financial Data - Old Segment'!AO164/'Financial Data - Old Seg -USD'!AO$10</f>
        <v>0.16275528954691049</v>
      </c>
      <c r="AP106" s="13">
        <f>'Financial Data - Old Segment'!AP164/'Financial Data - Old Seg -USD'!AP$10</f>
        <v>0.28658835046500214</v>
      </c>
      <c r="AQ106" s="13">
        <f>'Financial Data - Old Segment'!AQ164/'Financial Data - Old Seg -USD'!AQ$10</f>
        <v>0.43698392003476755</v>
      </c>
      <c r="AR106" s="13">
        <f>'Financial Data - Old Segment'!AR164/'Financial Data - Old Seg -USD'!AR$10</f>
        <v>0.80226082275729249</v>
      </c>
      <c r="AS106" s="13">
        <f>'Financial Data - Old Segment'!AS164/'Financial Data - Old Seg -USD'!AS$10</f>
        <v>0.2619851199910499</v>
      </c>
      <c r="AT106" s="13">
        <f>'Financial Data - Old Segment'!AT164/'Financial Data - Old Seg -USD'!AT$10</f>
        <v>1.6550705553677241</v>
      </c>
      <c r="AU106" s="13">
        <f>'Financial Data - Old Segment'!AU164/'Financial Data - Old Seg -USD'!AU$10</f>
        <v>2.0849160424580169</v>
      </c>
      <c r="AV106" s="13">
        <f>'Financial Data - Old Segment'!AV164/'Financial Data - Old Seg -USD'!AV$10</f>
        <v>3.0147058823529478</v>
      </c>
    </row>
    <row r="107" spans="1:48" ht="15" customHeight="1" x14ac:dyDescent="0.2">
      <c r="B107" s="49" t="s">
        <v>151</v>
      </c>
      <c r="C107" s="50">
        <f>'Financial Data - Old Segment'!C165/'Financial Data - Old Seg -USD'!C$10</f>
        <v>68.73686099999999</v>
      </c>
      <c r="D107" s="50">
        <f>'Financial Data - Old Segment'!D165/'Financial Data - Old Seg -USD'!D$10</f>
        <v>102.7887928</v>
      </c>
      <c r="E107" s="50">
        <f>'Financial Data - Old Segment'!E165/'Financial Data - Old Seg -USD'!E$10</f>
        <v>4.74996965651171</v>
      </c>
      <c r="F107" s="50">
        <f>'Financial Data - Old Segment'!F165/'Financial Data - Old Seg -USD'!F$10</f>
        <v>7.6432170694679078</v>
      </c>
      <c r="G107" s="50">
        <f>'Financial Data - Old Segment'!G165/'Financial Data - Old Seg -USD'!G$10</f>
        <v>18.571478894000002</v>
      </c>
      <c r="H107" s="50">
        <f>'Financial Data - Old Segment'!H165/'Financial Data - Old Seg -USD'!H$10</f>
        <v>28.031526208000002</v>
      </c>
      <c r="I107" s="50">
        <f>'Financial Data - Old Segment'!I165/'Financial Data - Old Seg -USD'!I$10</f>
        <v>14.126490769999998</v>
      </c>
      <c r="J107" s="50">
        <f>'Financial Data - Old Segment'!J165/'Financial Data - Old Seg -USD'!J$10</f>
        <v>23.80077756</v>
      </c>
      <c r="K107" s="50">
        <f>'Financial Data - Old Segment'!K165/'Financial Data - Old Seg -USD'!K$10</f>
        <v>26.684970926000002</v>
      </c>
      <c r="L107" s="50">
        <f>'Financial Data - Old Segment'!L165/'Financial Data - Old Seg -USD'!L$10</f>
        <v>35.979553084999999</v>
      </c>
      <c r="M107" s="50">
        <f>'Financial Data - Old Segment'!M165/'Financial Data - Old Seg -USD'!M$10</f>
        <v>7.1867196720000006</v>
      </c>
      <c r="N107" s="50">
        <f>'Financial Data - Old Segment'!N165/'Financial Data - Old Seg -USD'!N$10</f>
        <v>15.72660831</v>
      </c>
      <c r="O107" s="50">
        <f>'Financial Data - Old Segment'!O165/'Financial Data - Old Seg -USD'!O$10</f>
        <v>34.706149421999996</v>
      </c>
      <c r="P107" s="50">
        <f>'Financial Data - Old Segment'!P165/'Financial Data - Old Seg -USD'!P$10</f>
        <v>57.766968771999998</v>
      </c>
      <c r="Q107" s="50">
        <f>'Financial Data - Old Segment'!Q165/'Financial Data - Old Seg -USD'!Q$10</f>
        <v>26.51766216</v>
      </c>
      <c r="R107" s="50">
        <f>'Financial Data - Old Segment'!R165/'Financial Data - Old Seg -USD'!R$10</f>
        <v>62.723167085999997</v>
      </c>
      <c r="S107" s="50">
        <f>'Financial Data - Old Segment'!S165/'Financial Data - Old Seg -USD'!S$10</f>
        <v>81.014869307000012</v>
      </c>
      <c r="T107" s="50">
        <f>'Financial Data - Old Segment'!T165/'Financial Data - Old Seg -USD'!T$10</f>
        <v>107.87515198200002</v>
      </c>
      <c r="U107" s="50">
        <f>'Financial Data - Old Segment'!U165/'Financial Data - Old Seg -USD'!U$10</f>
        <v>7.1156536039999985</v>
      </c>
      <c r="V107" s="50">
        <f>'Financial Data - Old Segment'!V165/'Financial Data - Old Seg -USD'!V$10</f>
        <v>29.849079551108403</v>
      </c>
      <c r="W107" s="50">
        <f>'Financial Data - Old Segment'!W165/'Financial Data - Old Seg -USD'!W$10</f>
        <v>52.349267904999998</v>
      </c>
      <c r="X107" s="50">
        <f>'Financial Data - Old Segment'!X165/'Financial Data - Old Seg -USD'!X$10</f>
        <v>96.740352778000002</v>
      </c>
      <c r="Y107" s="50">
        <f>'Financial Data - Old Segment'!Y165/'Financial Data - Old Seg -USD'!Y$10</f>
        <v>42.133568138715759</v>
      </c>
      <c r="Z107" s="50">
        <f>'Financial Data - Old Segment'!Z165/'Financial Data - Old Seg -USD'!Z$10</f>
        <v>104.40242267326283</v>
      </c>
      <c r="AA107" s="50">
        <f>'Financial Data - Old Segment'!AA165/'Financial Data - Old Seg -USD'!AA$10</f>
        <v>147.73892126931247</v>
      </c>
      <c r="AB107" s="50">
        <f>'Financial Data - Old Segment'!AB165/'Financial Data - Old Seg -USD'!AB$10</f>
        <v>183.6089640978733</v>
      </c>
      <c r="AC107" s="50">
        <f>'Financial Data - Old Segment'!AC165/'Financial Data - Old Seg -USD'!AC$10</f>
        <v>33.106100687802673</v>
      </c>
      <c r="AD107" s="50">
        <f>'Financial Data - Old Segment'!AD165/'Financial Data - Old Seg -USD'!AD$10</f>
        <v>60.86886391300002</v>
      </c>
      <c r="AE107" s="50">
        <f>'Financial Data - Old Segment'!AE165/'Financial Data - Old Seg -USD'!AE$10</f>
        <v>102.71176869211656</v>
      </c>
      <c r="AF107" s="50">
        <f>'Financial Data - Old Segment'!AF165/'Financial Data - Old Seg -USD'!AF$10</f>
        <v>108.89007392151815</v>
      </c>
      <c r="AG107" s="50">
        <f>'Financial Data - Old Segment'!AG165/'Financial Data - Old Seg -USD'!AG$10</f>
        <v>12.437349110816401</v>
      </c>
      <c r="AH107" s="50">
        <f>'Financial Data - Old Segment'!AH165/'Financial Data - Old Seg -USD'!AH$10</f>
        <v>40.552445503999998</v>
      </c>
      <c r="AI107" s="50">
        <f>'Financial Data - Old Segment'!AI165/'Financial Data - Old Seg -USD'!AI$10</f>
        <v>47.338701422771109</v>
      </c>
      <c r="AJ107" s="50">
        <f>'Financial Data - Old Segment'!AJ165/'Financial Data - Old Seg -USD'!AJ$10</f>
        <v>56.211855140651338</v>
      </c>
      <c r="AK107" s="50">
        <f>'Financial Data - Old Segment'!AK165/'Financial Data - Old Seg -USD'!AK$10</f>
        <v>7.2857993934142087</v>
      </c>
      <c r="AL107" s="50">
        <f>'Financial Data - Old Segment'!AL165/'Financial Data - Old Seg -USD'!AL$10</f>
        <v>23.543019033997115</v>
      </c>
      <c r="AM107" s="50">
        <f>'Financial Data - Old Segment'!AM165/'Financial Data - Old Seg -USD'!AM$10</f>
        <v>31.033504007123792</v>
      </c>
      <c r="AN107" s="50">
        <f>'Financial Data - Old Segment'!AN165/'Financial Data - Old Seg -USD'!AN$10</f>
        <v>63.858142406365836</v>
      </c>
      <c r="AO107" s="50">
        <f>'Financial Data - Old Segment'!AO165/'Financial Data - Old Seg -USD'!AO$10</f>
        <v>9.8133564340841204</v>
      </c>
      <c r="AP107" s="50">
        <f>'Financial Data - Old Segment'!AP165/'Financial Data - Old Seg -USD'!AP$10</f>
        <v>19.132648066568752</v>
      </c>
      <c r="AQ107" s="50">
        <f>'Financial Data - Old Segment'!AQ165/'Financial Data - Old Seg -USD'!AQ$10</f>
        <v>38.764884832681453</v>
      </c>
      <c r="AR107" s="50">
        <f>'Financial Data - Old Segment'!AR165/'Financial Data - Old Seg -USD'!AR$10</f>
        <v>54.235109003954356</v>
      </c>
      <c r="AS107" s="50">
        <f>'Financial Data - Old Segment'!AS165/'Financial Data - Old Seg -USD'!AS$10</f>
        <v>10.925059203043142</v>
      </c>
      <c r="AT107" s="50">
        <f>'Financial Data - Old Segment'!AT165/'Financial Data - Old Seg -USD'!AT$10</f>
        <v>20.558214851326582</v>
      </c>
      <c r="AU107" s="50">
        <f>'Financial Data - Old Segment'!AU165/'Financial Data - Old Seg -USD'!AU$10</f>
        <v>29.105577052788462</v>
      </c>
      <c r="AV107" s="50">
        <f>'Financial Data - Old Segment'!AV165/'Financial Data - Old Seg -USD'!AV$10</f>
        <v>51.450134010438816</v>
      </c>
    </row>
    <row r="108" spans="1:48" ht="15" customHeight="1" x14ac:dyDescent="0.2">
      <c r="B108" s="26" t="s">
        <v>11</v>
      </c>
      <c r="C108" s="13">
        <f>'Financial Data - Old Segment'!C166/'Financial Data - Old Seg -USD'!C$10</f>
        <v>38.6076342</v>
      </c>
      <c r="D108" s="13">
        <f>'Financial Data - Old Segment'!D166/'Financial Data - Old Seg -USD'!D$10</f>
        <v>48.253430799999997</v>
      </c>
      <c r="E108" s="13">
        <f>'Financial Data - Old Segment'!E166/'Financial Data - Old Seg -USD'!E$10</f>
        <v>10.995873285592905</v>
      </c>
      <c r="F108" s="13">
        <f>'Financial Data - Old Segment'!F166/'Financial Data - Old Seg -USD'!F$10</f>
        <v>21.03877710288673</v>
      </c>
      <c r="G108" s="13">
        <f>'Financial Data - Old Segment'!G166/'Financial Data - Old Seg -USD'!G$10</f>
        <v>30.815730016000003</v>
      </c>
      <c r="H108" s="13">
        <f>'Financial Data - Old Segment'!H166/'Financial Data - Old Seg -USD'!H$10</f>
        <v>39.817214745000001</v>
      </c>
      <c r="I108" s="13">
        <f>'Financial Data - Old Segment'!I166/'Financial Data - Old Seg -USD'!I$10</f>
        <v>9.9924764799999988</v>
      </c>
      <c r="J108" s="13">
        <f>'Financial Data - Old Segment'!J166/'Financial Data - Old Seg -USD'!J$10</f>
        <v>18.416750183999998</v>
      </c>
      <c r="K108" s="13">
        <f>'Financial Data - Old Segment'!K166/'Financial Data - Old Seg -USD'!K$10</f>
        <v>26.999991743000006</v>
      </c>
      <c r="L108" s="13">
        <f>'Financial Data - Old Segment'!L166/'Financial Data - Old Seg -USD'!L$10</f>
        <v>35.898835073999997</v>
      </c>
      <c r="M108" s="13">
        <f>'Financial Data - Old Segment'!M166/'Financial Data - Old Seg -USD'!M$10</f>
        <v>7.7667251310000003</v>
      </c>
      <c r="N108" s="13">
        <f>'Financial Data - Old Segment'!N166/'Financial Data - Old Seg -USD'!N$10</f>
        <v>15.210656895000001</v>
      </c>
      <c r="O108" s="13">
        <f>'Financial Data - Old Segment'!O166/'Financial Data - Old Seg -USD'!O$10</f>
        <v>24.203704476000002</v>
      </c>
      <c r="P108" s="13">
        <f>'Financial Data - Old Segment'!P166/'Financial Data - Old Seg -USD'!P$10</f>
        <v>33.419337892000001</v>
      </c>
      <c r="Q108" s="13">
        <f>'Financial Data - Old Segment'!Q166/'Financial Data - Old Seg -USD'!Q$10</f>
        <v>9.3440902500000007</v>
      </c>
      <c r="R108" s="13">
        <f>'Financial Data - Old Segment'!R166/'Financial Data - Old Seg -USD'!R$10</f>
        <v>19.188179565999999</v>
      </c>
      <c r="S108" s="13">
        <f>'Financial Data - Old Segment'!S166/'Financial Data - Old Seg -USD'!S$10</f>
        <v>29.972107376000004</v>
      </c>
      <c r="T108" s="13">
        <f>'Financial Data - Old Segment'!T166/'Financial Data - Old Seg -USD'!T$10</f>
        <v>40.098729645000006</v>
      </c>
      <c r="U108" s="13">
        <f>'Financial Data - Old Segment'!U166/'Financial Data - Old Seg -USD'!U$10</f>
        <v>8.0463954749999989</v>
      </c>
      <c r="V108" s="13">
        <f>'Financial Data - Old Segment'!V166/'Financial Data - Old Seg -USD'!V$10</f>
        <v>15.901929349328318</v>
      </c>
      <c r="W108" s="13">
        <f>'Financial Data - Old Segment'!W166/'Financial Data - Old Seg -USD'!W$10</f>
        <v>24.415628545000001</v>
      </c>
      <c r="X108" s="13">
        <f>'Financial Data - Old Segment'!X166/'Financial Data - Old Seg -USD'!X$10</f>
        <v>32.353791336999997</v>
      </c>
      <c r="Y108" s="13">
        <f>'Financial Data - Old Segment'!Y166/'Financial Data - Old Seg -USD'!Y$10</f>
        <v>7.9707396369547494</v>
      </c>
      <c r="Z108" s="13">
        <f>'Financial Data - Old Segment'!Z166/'Financial Data - Old Seg -USD'!Z$10</f>
        <v>15.740441074483346</v>
      </c>
      <c r="AA108" s="13">
        <f>'Financial Data - Old Segment'!AA166/'Financial Data - Old Seg -USD'!AA$10</f>
        <v>22.774077157923927</v>
      </c>
      <c r="AB108" s="13">
        <f>'Financial Data - Old Segment'!AB166/'Financial Data - Old Seg -USD'!AB$10</f>
        <v>29.331351474959977</v>
      </c>
      <c r="AC108" s="13">
        <f>'Financial Data - Old Segment'!AC166/'Financial Data - Old Seg -USD'!AC$10</f>
        <v>6.6598836026209733</v>
      </c>
      <c r="AD108" s="13">
        <f>'Financial Data - Old Segment'!AD166/'Financial Data - Old Seg -USD'!AD$10</f>
        <v>14.458703259000002</v>
      </c>
      <c r="AE108" s="13">
        <f>'Financial Data - Old Segment'!AE166/'Financial Data - Old Seg -USD'!AE$10</f>
        <v>20.87794593780589</v>
      </c>
      <c r="AF108" s="13">
        <f>'Financial Data - Old Segment'!AF166/'Financial Data - Old Seg -USD'!AF$10</f>
        <v>27.205693060203746</v>
      </c>
      <c r="AG108" s="13">
        <f>'Financial Data - Old Segment'!AG166/'Financial Data - Old Seg -USD'!AG$10</f>
        <v>5.7581012615185756</v>
      </c>
      <c r="AH108" s="13">
        <f>'Financial Data - Old Segment'!AH166/'Financial Data - Old Seg -USD'!AH$10</f>
        <v>10.712458140000001</v>
      </c>
      <c r="AI108" s="13">
        <f>'Financial Data - Old Segment'!AI166/'Financial Data - Old Seg -USD'!AI$10</f>
        <v>15.457709236070814</v>
      </c>
      <c r="AJ108" s="13">
        <f>'Financial Data - Old Segment'!AJ166/'Financial Data - Old Seg -USD'!AJ$10</f>
        <v>20.076538219409539</v>
      </c>
      <c r="AK108" s="13">
        <f>'Financial Data - Old Segment'!AK166/'Financial Data - Old Seg -USD'!AK$10</f>
        <v>4.157820623916809</v>
      </c>
      <c r="AL108" s="13">
        <f>'Financial Data - Old Segment'!AL166/'Financial Data - Old Seg -USD'!AL$10</f>
        <v>8.9976895147980986</v>
      </c>
      <c r="AM108" s="13">
        <f>'Financial Data - Old Segment'!AM166/'Financial Data - Old Seg -USD'!AM$10</f>
        <v>13.936720837043639</v>
      </c>
      <c r="AN108" s="13">
        <f>'Financial Data - Old Segment'!AN166/'Financial Data - Old Seg -USD'!AN$10</f>
        <v>19.413088215118698</v>
      </c>
      <c r="AO108" s="13">
        <f>'Financial Data - Old Segment'!AO166/'Financial Data - Old Seg -USD'!AO$10</f>
        <v>5.5859190423688849</v>
      </c>
      <c r="AP108" s="13">
        <f>'Financial Data - Old Segment'!AP166/'Financial Data - Old Seg -USD'!AP$10</f>
        <v>11.270190895741543</v>
      </c>
      <c r="AQ108" s="13">
        <f>'Financial Data - Old Segment'!AQ166/'Financial Data - Old Seg -USD'!AQ$10</f>
        <v>17.297262059973928</v>
      </c>
      <c r="AR108" s="13">
        <f>'Financial Data - Old Segment'!AR166/'Financial Data - Old Seg -USD'!AR$10</f>
        <v>24.336763214012127</v>
      </c>
      <c r="AS108" s="13">
        <f>'Financial Data - Old Segment'!AS166/'Financial Data - Old Seg -USD'!AS$10</f>
        <v>7.4200525834902837</v>
      </c>
      <c r="AT108" s="13">
        <f>'Financial Data - Old Segment'!AT166/'Financial Data - Old Seg -USD'!AT$10</f>
        <v>17.410893819954797</v>
      </c>
      <c r="AU108" s="13">
        <f>'Financial Data - Old Segment'!AU166/'Financial Data - Old Seg -USD'!AU$10</f>
        <v>26.122333061166476</v>
      </c>
      <c r="AV108" s="13">
        <f>'Financial Data - Old Segment'!AV166/'Financial Data - Old Seg -USD'!AV$10</f>
        <v>34.494639582451761</v>
      </c>
    </row>
    <row r="109" spans="1:48" ht="15" customHeight="1" x14ac:dyDescent="0.2">
      <c r="B109" s="26" t="s">
        <v>147</v>
      </c>
      <c r="C109" s="13">
        <f>'Financial Data - Old Segment'!C167/'Financial Data - Old Seg -USD'!C$10</f>
        <v>11.4491718</v>
      </c>
      <c r="D109" s="13">
        <f>'Financial Data - Old Segment'!D167/'Financial Data - Old Seg -USD'!D$10</f>
        <v>16.630318599999999</v>
      </c>
      <c r="E109" s="13">
        <f>'Financial Data - Old Segment'!E167/'Financial Data - Old Seg -USD'!E$10</f>
        <v>2.7873528340818043</v>
      </c>
      <c r="F109" s="13">
        <f>'Financial Data - Old Segment'!F167/'Financial Data - Old Seg -USD'!F$10</f>
        <v>5.7249389914071882</v>
      </c>
      <c r="G109" s="13">
        <f>'Financial Data - Old Segment'!G167/'Financial Data - Old Seg -USD'!G$10</f>
        <v>8.7291245820000007</v>
      </c>
      <c r="H109" s="13">
        <f>'Financial Data - Old Segment'!H167/'Financial Data - Old Seg -USD'!H$10</f>
        <v>11.422743415999999</v>
      </c>
      <c r="I109" s="13">
        <f>'Financial Data - Old Segment'!I167/'Financial Data - Old Seg -USD'!I$10</f>
        <v>3.3696644099999999</v>
      </c>
      <c r="J109" s="13">
        <f>'Financial Data - Old Segment'!J167/'Financial Data - Old Seg -USD'!J$10</f>
        <v>4.8696298560000004</v>
      </c>
      <c r="K109" s="13">
        <f>'Financial Data - Old Segment'!K167/'Financial Data - Old Seg -USD'!K$10</f>
        <v>7.2666122630000007</v>
      </c>
      <c r="L109" s="13">
        <f>'Financial Data - Old Segment'!L167/'Financial Data - Old Seg -USD'!L$10</f>
        <v>9.3225967250000004</v>
      </c>
      <c r="M109" s="13">
        <f>'Financial Data - Old Segment'!M167/'Financial Data - Old Seg -USD'!M$10</f>
        <v>2.117561094</v>
      </c>
      <c r="N109" s="13">
        <f>'Financial Data - Old Segment'!N167/'Financial Data - Old Seg -USD'!N$10</f>
        <v>4.3194148200000004</v>
      </c>
      <c r="O109" s="13">
        <f>'Financial Data - Old Segment'!O167/'Financial Data - Old Seg -USD'!O$10</f>
        <v>6.4359457259999999</v>
      </c>
      <c r="P109" s="13">
        <f>'Financial Data - Old Segment'!P167/'Financial Data - Old Seg -USD'!P$10</f>
        <v>8.3642611000000002</v>
      </c>
      <c r="Q109" s="13">
        <f>'Financial Data - Old Segment'!Q167/'Financial Data - Old Seg -USD'!Q$10</f>
        <v>1.4788524299999999</v>
      </c>
      <c r="R109" s="13">
        <f>'Financial Data - Old Segment'!R167/'Financial Data - Old Seg -USD'!R$10</f>
        <v>3.6537496569999997</v>
      </c>
      <c r="S109" s="13">
        <f>'Financial Data - Old Segment'!S167/'Financial Data - Old Seg -USD'!S$10</f>
        <v>5.6259009940000002</v>
      </c>
      <c r="T109" s="13">
        <f>'Financial Data - Old Segment'!T167/'Financial Data - Old Seg -USD'!T$10</f>
        <v>7.539331176000001</v>
      </c>
      <c r="U109" s="13">
        <f>'Financial Data - Old Segment'!U167/'Financial Data - Old Seg -USD'!U$10</f>
        <v>1.7019600899999998</v>
      </c>
      <c r="V109" s="13">
        <f>'Financial Data - Old Segment'!V167/'Financial Data - Old Seg -USD'!V$10</f>
        <v>3.8316103709436664</v>
      </c>
      <c r="W109" s="13">
        <f>'Financial Data - Old Segment'!W167/'Financial Data - Old Seg -USD'!W$10</f>
        <v>5.8060868249999995</v>
      </c>
      <c r="X109" s="13">
        <f>'Financial Data - Old Segment'!X167/'Financial Data - Old Seg -USD'!X$10</f>
        <v>8.2451492789999996</v>
      </c>
      <c r="Y109" s="13">
        <f>'Financial Data - Old Segment'!Y167/'Financial Data - Old Seg -USD'!Y$10</f>
        <v>1.0295312923327002</v>
      </c>
      <c r="Z109" s="13">
        <f>'Financial Data - Old Segment'!Z167/'Financial Data - Old Seg -USD'!Z$10</f>
        <v>5.4597993434740433</v>
      </c>
      <c r="AA109" s="13">
        <f>'Financial Data - Old Segment'!AA167/'Financial Data - Old Seg -USD'!AA$10</f>
        <v>7.4914423165880208</v>
      </c>
      <c r="AB109" s="13">
        <f>'Financial Data - Old Segment'!AB167/'Financial Data - Old Seg -USD'!AB$10</f>
        <v>9.6565286988337533</v>
      </c>
      <c r="AC109" s="13">
        <f>'Financial Data - Old Segment'!AC167/'Financial Data - Old Seg -USD'!AC$10</f>
        <v>2.7935370965772646</v>
      </c>
      <c r="AD109" s="13">
        <f>'Financial Data - Old Segment'!AD167/'Financial Data - Old Seg -USD'!AD$10</f>
        <v>5.0753668680000006</v>
      </c>
      <c r="AE109" s="13">
        <f>'Financial Data - Old Segment'!AE167/'Financial Data - Old Seg -USD'!AE$10</f>
        <v>6.6113244484602074</v>
      </c>
      <c r="AF109" s="13">
        <f>'Financial Data - Old Segment'!AF167/'Financial Data - Old Seg -USD'!AF$10</f>
        <v>7.9121768232135645</v>
      </c>
      <c r="AG109" s="13">
        <f>'Financial Data - Old Segment'!AG167/'Financial Data - Old Seg -USD'!AG$10</f>
        <v>4.6849603862763045</v>
      </c>
      <c r="AH109" s="13">
        <f>'Financial Data - Old Segment'!AH167/'Financial Data - Old Seg -USD'!AH$10</f>
        <v>7.5823368140000005</v>
      </c>
      <c r="AI109" s="13">
        <f>'Financial Data - Old Segment'!AI167/'Financial Data - Old Seg -USD'!AI$10</f>
        <v>12.302705653553502</v>
      </c>
      <c r="AJ109" s="13">
        <f>'Financial Data - Old Segment'!AJ167/'Financial Data - Old Seg -USD'!AJ$10</f>
        <v>16.193300420794518</v>
      </c>
      <c r="AK109" s="13">
        <f>'Financial Data - Old Segment'!AK167/'Financial Data - Old Seg -USD'!AK$10</f>
        <v>4.8960138648180216</v>
      </c>
      <c r="AL109" s="13">
        <f>'Financial Data - Old Segment'!AL167/'Financial Data - Old Seg -USD'!AL$10</f>
        <v>7.8097150401584257</v>
      </c>
      <c r="AM109" s="13">
        <f>'Financial Data - Old Segment'!AM167/'Financial Data - Old Seg -USD'!AM$10</f>
        <v>12.562333036509356</v>
      </c>
      <c r="AN109" s="13">
        <f>'Financial Data - Old Segment'!AN167/'Financial Data - Old Seg -USD'!AN$10</f>
        <v>16.525723693236404</v>
      </c>
      <c r="AO109" s="13">
        <f>'Financial Data - Old Segment'!AO167/'Financial Data - Old Seg -USD'!AO$10</f>
        <v>5.3885126266603738</v>
      </c>
      <c r="AP109" s="13">
        <f>'Financial Data - Old Segment'!AP167/'Financial Data - Old Seg -USD'!AP$10</f>
        <v>8.4794419970631321</v>
      </c>
      <c r="AQ109" s="13">
        <f>'Financial Data - Old Segment'!AQ167/'Financial Data - Old Seg -USD'!AQ$10</f>
        <v>11.25445458496306</v>
      </c>
      <c r="AR109" s="13">
        <f>'Financial Data - Old Segment'!AR167/'Financial Data - Old Seg -USD'!AR$10</f>
        <v>13.953541334547936</v>
      </c>
      <c r="AS109" s="13">
        <f>'Financial Data - Old Segment'!AS167/'Financial Data - Old Seg -USD'!AS$10</f>
        <v>4.2613138413917886</v>
      </c>
      <c r="AT109" s="13">
        <f>'Financial Data - Old Segment'!AT167/'Financial Data - Old Seg -USD'!AT$10</f>
        <v>7.4500418171788514</v>
      </c>
      <c r="AU109" s="13">
        <f>'Financial Data - Old Segment'!AU167/'Financial Data - Old Seg -USD'!AU$10</f>
        <v>10.550072775036364</v>
      </c>
      <c r="AV109" s="13">
        <f>'Financial Data - Old Segment'!AV167/'Financial Data - Old Seg -USD'!AV$10</f>
        <v>15.168042036958701</v>
      </c>
    </row>
    <row r="110" spans="1:48" ht="15" customHeight="1" x14ac:dyDescent="0.2">
      <c r="B110" s="26" t="s">
        <v>149</v>
      </c>
      <c r="C110" s="13">
        <f>'Financial Data - Old Segment'!C168/'Financial Data - Old Seg -USD'!C$10</f>
        <v>0.21161160000000001</v>
      </c>
      <c r="D110" s="13">
        <f>'Financial Data - Old Segment'!D168/'Financial Data - Old Seg -USD'!D$10</f>
        <v>0.26508639999999994</v>
      </c>
      <c r="E110" s="13">
        <f>'Financial Data - Old Segment'!E168/'Financial Data - Old Seg -USD'!E$10</f>
        <v>5.5832018448840844E-2</v>
      </c>
      <c r="F110" s="13">
        <f>'Financial Data - Old Segment'!F168/'Financial Data - Old Seg -USD'!F$10</f>
        <v>0.11708970086864134</v>
      </c>
      <c r="G110" s="13">
        <f>'Financial Data - Old Segment'!G168/'Financial Data - Old Seg -USD'!G$10</f>
        <v>0.17990302799999999</v>
      </c>
      <c r="H110" s="13">
        <f>'Financial Data - Old Segment'!H168/'Financial Data - Old Seg -USD'!H$10</f>
        <v>0.25360871200000001</v>
      </c>
      <c r="I110" s="13">
        <f>'Financial Data - Old Segment'!I168/'Financial Data - Old Seg -USD'!I$10</f>
        <v>7.1241669999999993E-2</v>
      </c>
      <c r="J110" s="13">
        <f>'Financial Data - Old Segment'!J168/'Financial Data - Old Seg -USD'!J$10</f>
        <v>0.14244854399999998</v>
      </c>
      <c r="K110" s="13">
        <f>'Financial Data - Old Segment'!K168/'Financial Data - Old Seg -USD'!K$10</f>
        <v>0.21133472000000003</v>
      </c>
      <c r="L110" s="13">
        <f>'Financial Data - Old Segment'!L168/'Financial Data - Old Seg -USD'!L$10</f>
        <v>0.316868225</v>
      </c>
      <c r="M110" s="13">
        <f>'Financial Data - Old Segment'!M168/'Financial Data - Old Seg -USD'!M$10</f>
        <v>7.0670258999999999E-2</v>
      </c>
      <c r="N110" s="13">
        <f>'Financial Data - Old Segment'!N168/'Financial Data - Old Seg -USD'!N$10</f>
        <v>7.6082054999999996E-2</v>
      </c>
      <c r="O110" s="13">
        <f>'Financial Data - Old Segment'!O168/'Financial Data - Old Seg -USD'!O$10</f>
        <v>0.11618569200000001</v>
      </c>
      <c r="P110" s="13">
        <f>'Financial Data - Old Segment'!P168/'Financial Data - Old Seg -USD'!P$10</f>
        <v>0.15621267600000002</v>
      </c>
      <c r="Q110" s="13">
        <f>'Financial Data - Old Segment'!Q168/'Financial Data - Old Seg -USD'!Q$10</f>
        <v>3.408009E-2</v>
      </c>
      <c r="R110" s="13">
        <f>'Financial Data - Old Segment'!R168/'Financial Data - Old Seg -USD'!R$10</f>
        <v>7.3041539000000003E-2</v>
      </c>
      <c r="S110" s="13">
        <f>'Financial Data - Old Segment'!S168/'Financial Data - Old Seg -USD'!S$10</f>
        <v>0.12874808100000001</v>
      </c>
      <c r="T110" s="13">
        <f>'Financial Data - Old Segment'!T168/'Financial Data - Old Seg -USD'!T$10</f>
        <v>0.16181217000000001</v>
      </c>
      <c r="U110" s="13">
        <f>'Financial Data - Old Segment'!U168/'Financial Data - Old Seg -USD'!U$10</f>
        <v>3.4825585999999999E-2</v>
      </c>
      <c r="V110" s="13">
        <f>'Financial Data - Old Segment'!V168/'Financial Data - Old Seg -USD'!V$10</f>
        <v>7.5183813367239755E-2</v>
      </c>
      <c r="W110" s="13">
        <f>'Financial Data - Old Segment'!W168/'Financial Data - Old Seg -USD'!W$10</f>
        <v>0.111128985</v>
      </c>
      <c r="X110" s="13">
        <f>'Financial Data - Old Segment'!X168/'Financial Data - Old Seg -USD'!X$10</f>
        <v>0.15079066099999999</v>
      </c>
      <c r="Y110" s="13">
        <f>'Financial Data - Old Segment'!Y168/'Financial Data - Old Seg -USD'!Y$10</f>
        <v>3.34146121195701E-2</v>
      </c>
      <c r="Z110" s="13">
        <f>'Financial Data - Old Segment'!Z168/'Financial Data - Old Seg -USD'!Z$10</f>
        <v>6.9351333857321243E-2</v>
      </c>
      <c r="AA110" s="13">
        <f>'Financial Data - Old Segment'!AA168/'Financial Data - Old Seg -USD'!AA$10</f>
        <v>0.11194375057822174</v>
      </c>
      <c r="AB110" s="13">
        <f>'Financial Data - Old Segment'!AB168/'Financial Data - Old Seg -USD'!AB$10</f>
        <v>0.16922021495540818</v>
      </c>
      <c r="AC110" s="13">
        <f>'Financial Data - Old Segment'!AC168/'Financial Data - Old Seg -USD'!AC$10</f>
        <v>6.471043099588944E-2</v>
      </c>
      <c r="AD110" s="13">
        <f>'Financial Data - Old Segment'!AD168/'Financial Data - Old Seg -USD'!AD$10</f>
        <v>0.12965695600000002</v>
      </c>
      <c r="AE110" s="13">
        <f>'Financial Data - Old Segment'!AE168/'Financial Data - Old Seg -USD'!AE$10</f>
        <v>0.18899179278668776</v>
      </c>
      <c r="AF110" s="13">
        <f>'Financial Data - Old Segment'!AF168/'Financial Data - Old Seg -USD'!AF$10</f>
        <v>0.24897944172704209</v>
      </c>
      <c r="AG110" s="13">
        <f>'Financial Data - Old Segment'!AG168/'Financial Data - Old Seg -USD'!AG$10</f>
        <v>6.1885817266823004E-2</v>
      </c>
      <c r="AH110" s="13">
        <f>'Financial Data - Old Segment'!AH168/'Financial Data - Old Seg -USD'!AH$10</f>
        <v>0.12576686300000001</v>
      </c>
      <c r="AI110" s="13">
        <f>'Financial Data - Old Segment'!AI168/'Financial Data - Old Seg -USD'!AI$10</f>
        <v>0.19618547203930509</v>
      </c>
      <c r="AJ110" s="13">
        <f>'Financial Data - Old Segment'!AJ168/'Financial Data - Old Seg -USD'!AJ$10</f>
        <v>0.28859216063086013</v>
      </c>
      <c r="AK110" s="13">
        <f>'Financial Data - Old Segment'!AK168/'Financial Data - Old Seg -USD'!AK$10</f>
        <v>7.2844454072790277E-2</v>
      </c>
      <c r="AL110" s="13">
        <f>'Financial Data - Old Segment'!AL168/'Financial Data - Old Seg -USD'!AL$10</f>
        <v>0.14523049840466484</v>
      </c>
      <c r="AM110" s="13">
        <f>'Financial Data - Old Segment'!AM168/'Financial Data - Old Seg -USD'!AM$10</f>
        <v>0.2156611754229743</v>
      </c>
      <c r="AN110" s="13">
        <f>'Financial Data - Old Segment'!AN168/'Financial Data - Old Seg -USD'!AN$10</f>
        <v>0.54712580600905547</v>
      </c>
      <c r="AO110" s="13">
        <f>'Financial Data - Old Segment'!AO168/'Financial Data - Old Seg -USD'!AO$10</f>
        <v>7.6914999737491566E-2</v>
      </c>
      <c r="AP110" s="13">
        <f>'Financial Data - Old Segment'!AP168/'Financial Data - Old Seg -USD'!AP$10</f>
        <v>0.15956926089084661</v>
      </c>
      <c r="AQ110" s="13">
        <f>'Financial Data - Old Segment'!AQ168/'Financial Data - Old Seg -USD'!AQ$10</f>
        <v>0.21012603215993048</v>
      </c>
      <c r="AR110" s="13">
        <f>'Financial Data - Old Segment'!AR168/'Financial Data - Old Seg -USD'!AR$10</f>
        <v>0.28301691476366941</v>
      </c>
      <c r="AS110" s="13">
        <f>'Financial Data - Old Segment'!AS168/'Financial Data - Old Seg -USD'!AS$10</f>
        <v>7.9621100523970326E-2</v>
      </c>
      <c r="AT110" s="13">
        <f>'Financial Data - Old Segment'!AT168/'Financial Data - Old Seg -USD'!AT$10</f>
        <v>0.1565919888962044</v>
      </c>
      <c r="AU110" s="13">
        <f>'Financial Data - Old Segment'!AU168/'Financial Data - Old Seg -USD'!AU$10</f>
        <v>0.23092761546380722</v>
      </c>
      <c r="AV110" s="93"/>
    </row>
    <row r="111" spans="1:48" ht="15" customHeight="1" x14ac:dyDescent="0.2">
      <c r="B111" s="26" t="s">
        <v>148</v>
      </c>
      <c r="C111" s="13">
        <f>'Financial Data - Old Segment'!C169/'Financial Data - Old Seg -USD'!C$10</f>
        <v>2.7445532400000001</v>
      </c>
      <c r="D111" s="13">
        <f>'Financial Data - Old Segment'!D169/'Financial Data - Old Seg -USD'!D$10</f>
        <v>4.1512221999999994</v>
      </c>
      <c r="E111" s="13">
        <f>'Financial Data - Old Segment'!E169/'Financial Data - Old Seg -USD'!E$10</f>
        <v>0.77011773273455464</v>
      </c>
      <c r="F111" s="13">
        <f>'Financial Data - Old Segment'!F169/'Financial Data - Old Seg -USD'!F$10</f>
        <v>1.518429205945466</v>
      </c>
      <c r="G111" s="13">
        <f>'Financial Data - Old Segment'!G169/'Financial Data - Old Seg -USD'!G$10</f>
        <v>2.0829198100000004</v>
      </c>
      <c r="H111" s="13">
        <f>'Financial Data - Old Segment'!H169/'Financial Data - Old Seg -USD'!H$10</f>
        <v>3.1668740949999998</v>
      </c>
      <c r="I111" s="13">
        <f>'Financial Data - Old Segment'!I169/'Financial Data - Old Seg -USD'!I$10</f>
        <v>0.84358126999999994</v>
      </c>
      <c r="J111" s="13">
        <f>'Financial Data - Old Segment'!J169/'Financial Data - Old Seg -USD'!J$10</f>
        <v>1.60914096</v>
      </c>
      <c r="K111" s="13">
        <f>'Financial Data - Old Segment'!K169/'Financial Data - Old Seg -USD'!K$10</f>
        <v>2.3669488640000003</v>
      </c>
      <c r="L111" s="13">
        <f>'Financial Data - Old Segment'!L169/'Financial Data - Old Seg -USD'!L$10</f>
        <v>3.2093748010000001</v>
      </c>
      <c r="M111" s="13">
        <f>'Financial Data - Old Segment'!M169/'Financial Data - Old Seg -USD'!M$10</f>
        <v>0.79074289800000008</v>
      </c>
      <c r="N111" s="13">
        <f>'Financial Data - Old Segment'!N169/'Financial Data - Old Seg -USD'!N$10</f>
        <v>1.5536083500000002</v>
      </c>
      <c r="O111" s="13">
        <f>'Financial Data - Old Segment'!O169/'Financial Data - Old Seg -USD'!O$10</f>
        <v>2.3125896780000001</v>
      </c>
      <c r="P111" s="13">
        <f>'Financial Data - Old Segment'!P169/'Financial Data - Old Seg -USD'!P$10</f>
        <v>3.0075429000000002</v>
      </c>
      <c r="Q111" s="13">
        <f>'Financial Data - Old Segment'!Q169/'Financial Data - Old Seg -USD'!Q$10</f>
        <v>0.72573831</v>
      </c>
      <c r="R111" s="13">
        <f>'Financial Data - Old Segment'!R169/'Financial Data - Old Seg -USD'!R$10</f>
        <v>1.4290493470000001</v>
      </c>
      <c r="S111" s="13">
        <f>'Financial Data - Old Segment'!S169/'Financial Data - Old Seg -USD'!S$10</f>
        <v>2.1948482380000001</v>
      </c>
      <c r="T111" s="13">
        <f>'Financial Data - Old Segment'!T169/'Financial Data - Old Seg -USD'!T$10</f>
        <v>2.9416336560000005</v>
      </c>
      <c r="U111" s="13">
        <f>'Financial Data - Old Segment'!U169/'Financial Data - Old Seg -USD'!U$10</f>
        <v>0.71055429499999989</v>
      </c>
      <c r="V111" s="13">
        <f>'Financial Data - Old Segment'!V169/'Financial Data - Old Seg -USD'!V$10</f>
        <v>1.3638122615954444</v>
      </c>
      <c r="W111" s="13">
        <f>'Financial Data - Old Segment'!W169/'Financial Data - Old Seg -USD'!W$10</f>
        <v>1.9852897899999999</v>
      </c>
      <c r="X111" s="13">
        <f>'Financial Data - Old Segment'!X169/'Financial Data - Old Seg -USD'!X$10</f>
        <v>2.5960162229999999</v>
      </c>
      <c r="Y111" s="13">
        <f>'Financial Data - Old Segment'!Y169/'Financial Data - Old Seg -USD'!Y$10</f>
        <v>0.503025377043258</v>
      </c>
      <c r="Z111" s="13">
        <f>'Financial Data - Old Segment'!Z169/'Financial Data - Old Seg -USD'!Z$10</f>
        <v>1.0120671320911747</v>
      </c>
      <c r="AA111" s="13">
        <f>'Financial Data - Old Segment'!AA169/'Financial Data - Old Seg -USD'!AA$10</f>
        <v>1.5186418725136446</v>
      </c>
      <c r="AB111" s="13">
        <f>'Financial Data - Old Segment'!AB169/'Financial Data - Old Seg -USD'!AB$10</f>
        <v>2.0032014635261834</v>
      </c>
      <c r="AC111" s="13">
        <f>'Financial Data - Old Segment'!AC169/'Financial Data - Old Seg -USD'!AC$10</f>
        <v>0.45500793618493335</v>
      </c>
      <c r="AD111" s="13">
        <f>'Financial Data - Old Segment'!AD169/'Financial Data - Old Seg -USD'!AD$10</f>
        <v>0.83730275200000004</v>
      </c>
      <c r="AE111" s="13">
        <f>'Financial Data - Old Segment'!AE169/'Financial Data - Old Seg -USD'!AE$10</f>
        <v>1.2623296438521199</v>
      </c>
      <c r="AF111" s="13">
        <f>'Financial Data - Old Segment'!AF169/'Financial Data - Old Seg -USD'!AF$10</f>
        <v>1.6332610054797545</v>
      </c>
      <c r="AG111" s="13">
        <f>'Financial Data - Old Segment'!AG169/'Financial Data - Old Seg -USD'!AG$10</f>
        <v>0.36519432826685666</v>
      </c>
      <c r="AH111" s="13">
        <f>'Financial Data - Old Segment'!AH169/'Financial Data - Old Seg -USD'!AH$10</f>
        <v>0.72512992399999998</v>
      </c>
      <c r="AI111" s="13">
        <f>'Financial Data - Old Segment'!AI169/'Financial Data - Old Seg -USD'!AI$10</f>
        <v>1.0532600907571041</v>
      </c>
      <c r="AJ111" s="13">
        <f>'Financial Data - Old Segment'!AJ169/'Financial Data - Old Seg -USD'!AJ$10</f>
        <v>1.3448858553394505</v>
      </c>
      <c r="AK111" s="13">
        <f>'Financial Data - Old Segment'!AK169/'Financial Data - Old Seg -USD'!AK$10</f>
        <v>0.26375649913344879</v>
      </c>
      <c r="AL111" s="13">
        <f>'Financial Data - Old Segment'!AL169/'Financial Data - Old Seg -USD'!AL$10</f>
        <v>0.53993838706128239</v>
      </c>
      <c r="AM111" s="13">
        <f>'Financial Data - Old Segment'!AM169/'Financial Data - Old Seg -USD'!AM$10</f>
        <v>0.83036509349955523</v>
      </c>
      <c r="AN111" s="13">
        <f>'Financial Data - Old Segment'!AN169/'Financial Data - Old Seg -USD'!AN$10</f>
        <v>1.1035807380985061</v>
      </c>
      <c r="AO111" s="13">
        <f>'Financial Data - Old Segment'!AO169/'Financial Data - Old Seg -USD'!AO$10</f>
        <v>0.27694650076127508</v>
      </c>
      <c r="AP111" s="13">
        <f>'Financial Data - Old Segment'!AP169/'Financial Data - Old Seg -USD'!AP$10</f>
        <v>0.52031326480665629</v>
      </c>
      <c r="AQ111" s="13">
        <f>'Financial Data - Old Segment'!AQ169/'Financial Data - Old Seg -USD'!AQ$10</f>
        <v>0.70643198609300306</v>
      </c>
      <c r="AR111" s="13">
        <f>'Financial Data - Old Segment'!AR169/'Financial Data - Old Seg -USD'!AR$10</f>
        <v>1.0268938531293343</v>
      </c>
      <c r="AS111" s="13">
        <f>'Financial Data - Old Segment'!AS169/'Financial Data - Old Seg -USD'!AS$10</f>
        <v>0.25452646888810188</v>
      </c>
      <c r="AT111" s="13">
        <f>'Financial Data - Old Segment'!AT169/'Financial Data - Old Seg -USD'!AT$10</f>
        <v>0.52404932647650215</v>
      </c>
      <c r="AU111" s="13">
        <f>'Financial Data - Old Segment'!AU169/'Financial Data - Old Seg -USD'!AU$10</f>
        <v>0.82377791188895411</v>
      </c>
      <c r="AV111" s="13">
        <f>'Financial Data - Old Segment'!AV169/'Financial Data - Old Seg -USD'!AV$10</f>
        <v>1.3155945831570066</v>
      </c>
    </row>
    <row r="112" spans="1:48" ht="15" customHeight="1" x14ac:dyDescent="0.2">
      <c r="A112" s="63" t="s">
        <v>79</v>
      </c>
      <c r="B112" s="49" t="s">
        <v>152</v>
      </c>
      <c r="C112" s="50">
        <f>'Financial Data - Old Segment'!C170/'Financial Data - Old Seg -USD'!C$10</f>
        <v>53.012970840000008</v>
      </c>
      <c r="D112" s="50">
        <f>'Financial Data - Old Segment'!D170/'Financial Data - Old Seg -USD'!D$10</f>
        <v>69.300057999999993</v>
      </c>
      <c r="E112" s="50">
        <f>'Financial Data - Old Segment'!E170/'Financial Data - Old Seg -USD'!E$10</f>
        <v>14.609175870858103</v>
      </c>
      <c r="F112" s="50">
        <f>'Financial Data - Old Segment'!F170/'Financial Data - Old Seg -USD'!F$10</f>
        <v>28.399235001108028</v>
      </c>
      <c r="G112" s="50">
        <f>'Financial Data - Old Segment'!G170/'Financial Data - Old Seg -USD'!G$10</f>
        <v>41.807677435999999</v>
      </c>
      <c r="H112" s="50">
        <f>'Financial Data - Old Segment'!H170/'Financial Data - Old Seg -USD'!H$10</f>
        <v>54.660440967999989</v>
      </c>
      <c r="I112" s="50">
        <f>'Financial Data - Old Segment'!I170/'Financial Data - Old Seg -USD'!I$10</f>
        <v>14.276963829999998</v>
      </c>
      <c r="J112" s="50">
        <f>'Financial Data - Old Segment'!J170/'Financial Data - Old Seg -USD'!J$10</f>
        <v>25.037969543999999</v>
      </c>
      <c r="K112" s="50">
        <f>'Financial Data - Old Segment'!K170/'Financial Data - Old Seg -USD'!K$10</f>
        <v>36.844887590000006</v>
      </c>
      <c r="L112" s="50">
        <f>'Financial Data - Old Segment'!L170/'Financial Data - Old Seg -USD'!L$10</f>
        <v>48.74767482499999</v>
      </c>
      <c r="M112" s="50">
        <f>'Financial Data - Old Segment'!M170/'Financial Data - Old Seg -USD'!M$10</f>
        <v>10.745699382000002</v>
      </c>
      <c r="N112" s="50">
        <f>'Financial Data - Old Segment'!N170/'Financial Data - Old Seg -USD'!N$10</f>
        <v>21.159762120000003</v>
      </c>
      <c r="O112" s="50">
        <f>'Financial Data - Old Segment'!O170/'Financial Data - Old Seg -USD'!O$10</f>
        <v>33.068425572000002</v>
      </c>
      <c r="P112" s="50">
        <f>'Financial Data - Old Segment'!P170/'Financial Data - Old Seg -USD'!P$10</f>
        <v>44.947354568000002</v>
      </c>
      <c r="Q112" s="50">
        <f>'Financial Data - Old Segment'!Q170/'Financial Data - Old Seg -USD'!Q$10</f>
        <v>11.582761079999999</v>
      </c>
      <c r="R112" s="50">
        <f>'Financial Data - Old Segment'!R170/'Financial Data - Old Seg -USD'!R$10</f>
        <v>24.344020108999999</v>
      </c>
      <c r="S112" s="50">
        <f>'Financial Data - Old Segment'!S170/'Financial Data - Old Seg -USD'!S$10</f>
        <v>37.921604688999999</v>
      </c>
      <c r="T112" s="50">
        <f>'Financial Data - Old Segment'!T170/'Financial Data - Old Seg -USD'!T$10</f>
        <v>50.741506647000008</v>
      </c>
      <c r="U112" s="50">
        <f>'Financial Data - Old Segment'!U170/'Financial Data - Old Seg -USD'!U$10</f>
        <v>10.493735446000001</v>
      </c>
      <c r="V112" s="50">
        <f>'Financial Data - Old Segment'!V170/'Financial Data - Old Seg -USD'!V$10</f>
        <v>21.172535795234669</v>
      </c>
      <c r="W112" s="50">
        <f>'Financial Data - Old Segment'!W170/'Financial Data - Old Seg -USD'!W$10</f>
        <v>32.318134145000002</v>
      </c>
      <c r="X112" s="50">
        <f>'Financial Data - Old Segment'!X170/'Financial Data - Old Seg -USD'!X$10</f>
        <v>43.345747500000009</v>
      </c>
      <c r="Y112" s="50">
        <f>'Financial Data - Old Segment'!Y170/'Financial Data - Old Seg -USD'!Y$10</f>
        <v>9.5367109184502787</v>
      </c>
      <c r="Z112" s="50">
        <f>'Financial Data - Old Segment'!Z170/'Financial Data - Old Seg -USD'!Z$10</f>
        <v>22.281658883905884</v>
      </c>
      <c r="AA112" s="50">
        <f>'Financial Data - Old Segment'!AA170/'Financial Data - Old Seg -USD'!AA$10</f>
        <v>31.896105097603819</v>
      </c>
      <c r="AB112" s="50">
        <f>'Financial Data - Old Segment'!AB170/'Financial Data - Old Seg -USD'!AB$10</f>
        <v>41.160301852275325</v>
      </c>
      <c r="AC112" s="50">
        <f>'Financial Data - Old Segment'!AC170/'Financial Data - Old Seg -USD'!AC$10</f>
        <v>9.9731390663790602</v>
      </c>
      <c r="AD112" s="50">
        <f>'Financial Data - Old Segment'!AD170/'Financial Data - Old Seg -USD'!AD$10</f>
        <v>20.501029835000001</v>
      </c>
      <c r="AE112" s="50">
        <f>'Financial Data - Old Segment'!AE170/'Financial Data - Old Seg -USD'!AE$10</f>
        <v>28.940591822904899</v>
      </c>
      <c r="AF112" s="50">
        <f>'Financial Data - Old Segment'!AF170/'Financial Data - Old Seg -USD'!AF$10</f>
        <v>37.000110330624111</v>
      </c>
      <c r="AG112" s="50">
        <f>'Financial Data - Old Segment'!AG170/'Financial Data - Old Seg -USD'!AG$10</f>
        <v>10.87014179332856</v>
      </c>
      <c r="AH112" s="50">
        <f>'Financial Data - Old Segment'!AH170/'Financial Data - Old Seg -USD'!AH$10</f>
        <v>19.145691741</v>
      </c>
      <c r="AI112" s="50">
        <f>'Financial Data - Old Segment'!AI170/'Financial Data - Old Seg -USD'!AI$10</f>
        <v>29.009860452420728</v>
      </c>
      <c r="AJ112" s="50">
        <f>'Financial Data - Old Segment'!AJ170/'Financial Data - Old Seg -USD'!AJ$10</f>
        <v>37.903316656174368</v>
      </c>
      <c r="AK112" s="50">
        <f>'Financial Data - Old Segment'!AK170/'Financial Data - Old Seg -USD'!AK$10</f>
        <v>9.3904354419410687</v>
      </c>
      <c r="AL112" s="50">
        <f>'Financial Data - Old Segment'!AL170/'Financial Data - Old Seg -USD'!AL$10</f>
        <v>17.492573440422472</v>
      </c>
      <c r="AM112" s="50">
        <f>'Financial Data - Old Segment'!AM170/'Financial Data - Old Seg -USD'!AM$10</f>
        <v>27.545080142475527</v>
      </c>
      <c r="AN112" s="50">
        <f>'Financial Data - Old Segment'!AN170/'Financial Data - Old Seg -USD'!AN$10</f>
        <v>37.589518452462663</v>
      </c>
      <c r="AO112" s="50">
        <f>'Financial Data - Old Segment'!AO170/'Financial Data - Old Seg -USD'!AO$10</f>
        <v>11.328293169528024</v>
      </c>
      <c r="AP112" s="50">
        <f>'Financial Data - Old Segment'!AP170/'Financial Data - Old Seg -USD'!AP$10</f>
        <v>20.429515418502181</v>
      </c>
      <c r="AQ112" s="50">
        <f>'Financial Data - Old Segment'!AQ170/'Financial Data - Old Seg -USD'!AQ$10</f>
        <v>29.468274663189927</v>
      </c>
      <c r="AR112" s="50">
        <f>'Financial Data - Old Segment'!AR170/'Financial Data - Old Seg -USD'!AR$10</f>
        <v>39.317198401689396</v>
      </c>
      <c r="AS112" s="50">
        <f>'Financial Data - Old Segment'!AS170/'Financial Data - Old Seg -USD'!AS$10</f>
        <v>12.015513994294144</v>
      </c>
      <c r="AT112" s="50">
        <f>'Financial Data - Old Segment'!AT170/'Financial Data - Old Seg -USD'!AT$10</f>
        <v>25.541576952506354</v>
      </c>
      <c r="AU112" s="50">
        <f>'Financial Data - Old Segment'!AU170/'Financial Data - Old Seg -USD'!AU$10</f>
        <v>37.727111363555601</v>
      </c>
      <c r="AV112" s="50">
        <f>'Financial Data - Old Segment'!AV170/'Financial Data - Old Seg -USD'!AV$10</f>
        <v>50.978276202567464</v>
      </c>
    </row>
    <row r="113" spans="1:48" x14ac:dyDescent="0.2">
      <c r="A113" s="63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</row>
    <row r="114" spans="1:48" x14ac:dyDescent="0.2">
      <c r="A114" s="63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</row>
    <row r="115" spans="1:48" ht="20.100000000000001" customHeight="1" x14ac:dyDescent="0.2">
      <c r="B115" s="34" t="s">
        <v>150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x14ac:dyDescent="0.2">
      <c r="B116" s="36" t="s">
        <v>132</v>
      </c>
      <c r="C116" s="37" t="s">
        <v>84</v>
      </c>
      <c r="D116" s="37">
        <v>2008</v>
      </c>
      <c r="E116" s="37" t="s">
        <v>85</v>
      </c>
      <c r="F116" s="37" t="s">
        <v>86</v>
      </c>
      <c r="G116" s="37" t="s">
        <v>87</v>
      </c>
      <c r="H116" s="37">
        <v>2009</v>
      </c>
      <c r="I116" s="37" t="s">
        <v>88</v>
      </c>
      <c r="J116" s="37" t="s">
        <v>89</v>
      </c>
      <c r="K116" s="37" t="s">
        <v>90</v>
      </c>
      <c r="L116" s="37">
        <v>2010</v>
      </c>
      <c r="M116" s="37" t="s">
        <v>91</v>
      </c>
      <c r="N116" s="37" t="s">
        <v>92</v>
      </c>
      <c r="O116" s="37" t="s">
        <v>93</v>
      </c>
      <c r="P116" s="37">
        <v>2011</v>
      </c>
      <c r="Q116" s="37" t="s">
        <v>94</v>
      </c>
      <c r="R116" s="37" t="s">
        <v>95</v>
      </c>
      <c r="S116" s="37" t="s">
        <v>96</v>
      </c>
      <c r="T116" s="37">
        <v>2012</v>
      </c>
      <c r="U116" s="37" t="s">
        <v>97</v>
      </c>
      <c r="V116" s="37" t="s">
        <v>98</v>
      </c>
      <c r="W116" s="37" t="s">
        <v>99</v>
      </c>
      <c r="X116" s="37">
        <v>2013</v>
      </c>
      <c r="Y116" s="37" t="s">
        <v>100</v>
      </c>
      <c r="Z116" s="37" t="s">
        <v>101</v>
      </c>
      <c r="AA116" s="37" t="s">
        <v>102</v>
      </c>
      <c r="AB116" s="37">
        <v>2014</v>
      </c>
      <c r="AC116" s="37" t="s">
        <v>103</v>
      </c>
      <c r="AD116" s="37" t="s">
        <v>104</v>
      </c>
      <c r="AE116" s="37" t="s">
        <v>105</v>
      </c>
      <c r="AF116" s="37">
        <v>2015</v>
      </c>
      <c r="AG116" s="37" t="s">
        <v>106</v>
      </c>
      <c r="AH116" s="37" t="s">
        <v>107</v>
      </c>
      <c r="AI116" s="37" t="s">
        <v>108</v>
      </c>
      <c r="AJ116" s="37">
        <v>2016</v>
      </c>
      <c r="AK116" s="37" t="s">
        <v>109</v>
      </c>
      <c r="AL116" s="37" t="s">
        <v>110</v>
      </c>
      <c r="AM116" s="37" t="s">
        <v>111</v>
      </c>
      <c r="AN116" s="37">
        <v>2017</v>
      </c>
      <c r="AO116" s="37" t="s">
        <v>112</v>
      </c>
      <c r="AP116" s="37" t="s">
        <v>113</v>
      </c>
      <c r="AQ116" s="37" t="s">
        <v>114</v>
      </c>
      <c r="AR116" s="37">
        <v>2018</v>
      </c>
      <c r="AS116" s="37" t="s">
        <v>187</v>
      </c>
      <c r="AT116" s="37" t="s">
        <v>190</v>
      </c>
      <c r="AU116" s="37" t="s">
        <v>192</v>
      </c>
      <c r="AV116" s="37">
        <v>2019</v>
      </c>
    </row>
    <row r="117" spans="1:48" ht="15" customHeight="1" x14ac:dyDescent="0.2">
      <c r="B117" s="26" t="s">
        <v>11</v>
      </c>
      <c r="C117" s="13">
        <f>'Financial Data - Old Segment'!C175/'Financial Data - Old Seg -USD'!C$11</f>
        <v>-300.40299999999996</v>
      </c>
      <c r="D117" s="13">
        <f>'Financial Data - Old Segment'!D175/'Financial Data - Old Seg -USD'!D$11</f>
        <v>-297.53999999999996</v>
      </c>
      <c r="E117" s="13">
        <f>'Financial Data - Old Segment'!E175/'Financial Data - Old Seg -USD'!E$11</f>
        <v>-297.3933649289097</v>
      </c>
      <c r="F117" s="13">
        <f>'Financial Data - Old Segment'!F175/'Financial Data - Old Seg -USD'!F$11</f>
        <v>-315.66564276844639</v>
      </c>
      <c r="G117" s="13">
        <f>'Financial Data - Old Segment'!G175/'Financial Data - Old Seg -USD'!G$11</f>
        <v>-304.31856399999998</v>
      </c>
      <c r="H117" s="13">
        <f>'Financial Data - Old Segment'!H175/'Financial Data - Old Seg -USD'!H$11</f>
        <v>-247.72533900000002</v>
      </c>
      <c r="I117" s="13">
        <f>'Financial Data - Old Segment'!I175/'Financial Data - Old Seg -USD'!I$11</f>
        <v>-239.89478999999997</v>
      </c>
      <c r="J117" s="13">
        <f>'Financial Data - Old Segment'!J175/'Financial Data - Old Seg -USD'!J$11</f>
        <v>-254.01679999999999</v>
      </c>
      <c r="K117" s="13">
        <f>'Financial Data - Old Segment'!K175/'Financial Data - Old Seg -USD'!K$11</f>
        <v>-261.16321499999998</v>
      </c>
      <c r="L117" s="13">
        <f>'Financial Data - Old Segment'!L175/'Financial Data - Old Seg -USD'!L$11</f>
        <v>-228.331343</v>
      </c>
      <c r="M117" s="13">
        <f>'Financial Data - Old Segment'!M175/'Financial Data - Old Seg -USD'!M$11</f>
        <v>-214.42884000000004</v>
      </c>
      <c r="N117" s="13">
        <f>'Financial Data - Old Segment'!N175/'Financial Data - Old Seg -USD'!N$11</f>
        <v>-169.304472</v>
      </c>
      <c r="O117" s="13">
        <f>'Financial Data - Old Segment'!O175/'Financial Data - Old Seg -USD'!O$11</f>
        <v>-197.79970499999999</v>
      </c>
      <c r="P117" s="13">
        <f>'Financial Data - Old Segment'!P175/'Financial Data - Old Seg -USD'!P$11</f>
        <v>-121.76407</v>
      </c>
      <c r="Q117" s="13">
        <f>'Financial Data - Old Segment'!Q175/'Financial Data - Old Seg -USD'!Q$11</f>
        <v>-126.91057499999999</v>
      </c>
      <c r="R117" s="13">
        <f>'Financial Data - Old Segment'!R175/'Financial Data - Old Seg -USD'!R$11</f>
        <v>-158.31730199999998</v>
      </c>
      <c r="S117" s="13">
        <f>'Financial Data - Old Segment'!S175/'Financial Data - Old Seg -USD'!S$11</f>
        <v>-135.59695599999998</v>
      </c>
      <c r="T117" s="13">
        <f>'Financial Data - Old Segment'!T175/'Financial Data - Old Seg -USD'!T$11</f>
        <v>-162.68361999999999</v>
      </c>
      <c r="U117" s="13">
        <f>'Financial Data - Old Segment'!U175/'Financial Data - Old Seg -USD'!U$11</f>
        <v>-215.07148700000002</v>
      </c>
      <c r="V117" s="13">
        <f>'Financial Data - Old Segment'!V175/'Financial Data - Old Seg -USD'!V$11</f>
        <v>-206.25519534497096</v>
      </c>
      <c r="W117" s="13">
        <f>'Financial Data - Old Segment'!W175/'Financial Data - Old Seg -USD'!W$11</f>
        <v>-281.19176799999997</v>
      </c>
      <c r="X117" s="13">
        <f>'Financial Data - Old Segment'!X175/'Financial Data - Old Seg -USD'!X$11</f>
        <v>-290.02502200000004</v>
      </c>
      <c r="Y117" s="13">
        <f>'Financial Data - Old Segment'!Y175/'Financial Data - Old Seg -USD'!Y$11</f>
        <v>-234.26796967759594</v>
      </c>
      <c r="Z117" s="13">
        <f>'Financial Data - Old Segment'!Z175/'Financial Data - Old Seg -USD'!Z$11</f>
        <v>-265.14081190543493</v>
      </c>
      <c r="AA117" s="13">
        <f>'Financial Data - Old Segment'!AA175/'Financial Data - Old Seg -USD'!AA$11</f>
        <v>-269.86704111632821</v>
      </c>
      <c r="AB117" s="13">
        <f>'Financial Data - Old Segment'!AB175/'Financial Data - Old Seg -USD'!AB$11</f>
        <v>-263.91823709517439</v>
      </c>
      <c r="AC117" s="13">
        <f>'Financial Data - Old Segment'!AC175/'Financial Data - Old Seg -USD'!AC$11</f>
        <v>-275.45781932418993</v>
      </c>
      <c r="AD117" s="13">
        <f>'Financial Data - Old Segment'!AD175/'Financial Data - Old Seg -USD'!AD$11</f>
        <v>-259.46452299999999</v>
      </c>
      <c r="AE117" s="13">
        <f>'Financial Data - Old Segment'!AE175/'Financial Data - Old Seg -USD'!AE$11</f>
        <v>-255.64354483619755</v>
      </c>
      <c r="AF117" s="13">
        <f>'Financial Data - Old Segment'!AF175/'Financial Data - Old Seg -USD'!AF$11</f>
        <v>-233.86985830237975</v>
      </c>
      <c r="AG117" s="13">
        <f>'Financial Data - Old Segment'!AG175/'Financial Data - Old Seg -USD'!AG$11</f>
        <v>-191.64254958706871</v>
      </c>
      <c r="AH117" s="13">
        <f>'Financial Data - Old Segment'!AH175/'Financial Data - Old Seg -USD'!AH$11</f>
        <v>-169.68469000000002</v>
      </c>
      <c r="AI117" s="13">
        <f>'Financial Data - Old Segment'!AI175/'Financial Data - Old Seg -USD'!AI$11</f>
        <v>-144.86464835274899</v>
      </c>
      <c r="AJ117" s="13">
        <f>'Financial Data - Old Segment'!AJ175/'Financial Data - Old Seg -USD'!AJ$11</f>
        <v>-134.97385769493087</v>
      </c>
      <c r="AK117" s="13">
        <f>'Financial Data - Old Segment'!AK175/'Financial Data - Old Seg -USD'!AK$11</f>
        <v>344.36321662177755</v>
      </c>
      <c r="AL117" s="13">
        <f>'Financial Data - Old Segment'!AL175/'Financial Data - Old Seg -USD'!AL$11</f>
        <v>296.82643779761037</v>
      </c>
      <c r="AM117" s="13">
        <f>'Financial Data - Old Segment'!AM175/'Financial Data - Old Seg -USD'!AM$11</f>
        <v>213.67641676754633</v>
      </c>
      <c r="AN117" s="13">
        <f>'Financial Data - Old Segment'!AN175/'Financial Data - Old Seg -USD'!AN$11</f>
        <v>302.7651846549486</v>
      </c>
      <c r="AO117" s="13">
        <f>'Financial Data - Old Segment'!AO175/'Financial Data - Old Seg -USD'!AO$11</f>
        <v>421.3831699967086</v>
      </c>
      <c r="AP117" s="13">
        <f>'Financial Data - Old Segment'!AP175/'Financial Data - Old Seg -USD'!AP$11</f>
        <v>413.53301028350916</v>
      </c>
      <c r="AQ117" s="13">
        <f>'Financial Data - Old Segment'!AQ175/'Financial Data - Old Seg -USD'!AQ$11</f>
        <v>320.69046108644113</v>
      </c>
      <c r="AR117" s="13">
        <f>'Financial Data - Old Segment'!AR175/'Financial Data - Old Seg -USD'!AR$11</f>
        <v>397.30084206124502</v>
      </c>
      <c r="AS117" s="13">
        <f>'Financial Data - Old Segment'!AS175/'Financial Data - Old Seg -USD'!AS$11</f>
        <v>467.27311491720513</v>
      </c>
      <c r="AT117" s="13">
        <f>'Financial Data - Old Segment'!AT175/'Financial Data - Old Seg -USD'!AT$11</f>
        <v>351.94175600771553</v>
      </c>
      <c r="AU117" s="13">
        <f>'Financial Data - Old Segment'!AU175/'Financial Data - Old Seg -USD'!AU$11</f>
        <v>372.80327260518521</v>
      </c>
      <c r="AV117" s="13">
        <f>'Financial Data - Old Segment'!AV175/'Financial Data - Old Seg -USD'!AV$11</f>
        <v>262.97481566277241</v>
      </c>
    </row>
    <row r="118" spans="1:48" ht="15" customHeight="1" x14ac:dyDescent="0.2">
      <c r="B118" s="26" t="s">
        <v>147</v>
      </c>
      <c r="C118" s="13">
        <f>'Financial Data - Old Segment'!C176/'Financial Data - Old Seg -USD'!C$11</f>
        <v>12.1785</v>
      </c>
      <c r="D118" s="13">
        <f>'Financial Data - Old Segment'!D176/'Financial Data - Old Seg -USD'!D$11</f>
        <v>51.573599999999999</v>
      </c>
      <c r="E118" s="13">
        <f>'Financial Data - Old Segment'!E176/'Financial Data - Old Seg -USD'!E$11</f>
        <v>37.322274881516556</v>
      </c>
      <c r="F118" s="13">
        <f>'Financial Data - Old Segment'!F176/'Financial Data - Old Seg -USD'!F$11</f>
        <v>93.457943925233607</v>
      </c>
      <c r="G118" s="13">
        <f>'Financial Data - Old Segment'!G176/'Financial Data - Old Seg -USD'!G$11</f>
        <v>114.70988</v>
      </c>
      <c r="H118" s="13">
        <f>'Financial Data - Old Segment'!H176/'Financial Data - Old Seg -USD'!H$11</f>
        <v>92.98002000000001</v>
      </c>
      <c r="I118" s="13">
        <f>'Financial Data - Old Segment'!I176/'Financial Data - Old Seg -USD'!I$11</f>
        <v>153.138318</v>
      </c>
      <c r="J118" s="13">
        <f>'Financial Data - Old Segment'!J176/'Financial Data - Old Seg -USD'!J$11</f>
        <v>141.61436599999999</v>
      </c>
      <c r="K118" s="13">
        <f>'Financial Data - Old Segment'!K176/'Financial Data - Old Seg -USD'!K$11</f>
        <v>137.81699999999998</v>
      </c>
      <c r="L118" s="13">
        <f>'Financial Data - Old Segment'!L176/'Financial Data - Old Seg -USD'!L$11</f>
        <v>208.926413</v>
      </c>
      <c r="M118" s="13">
        <f>'Financial Data - Old Segment'!M176/'Financial Data - Old Seg -USD'!M$11</f>
        <v>249.95169000000004</v>
      </c>
      <c r="N118" s="13">
        <f>'Financial Data - Old Segment'!N176/'Financial Data - Old Seg -USD'!N$11</f>
        <v>135.56626199999999</v>
      </c>
      <c r="O118" s="13">
        <f>'Financial Data - Old Segment'!O176/'Financial Data - Old Seg -USD'!O$11</f>
        <v>98.086977000000005</v>
      </c>
      <c r="P118" s="13">
        <f>'Financial Data - Old Segment'!P176/'Financial Data - Old Seg -USD'!P$11</f>
        <v>103.76416399999999</v>
      </c>
      <c r="Q118" s="13">
        <f>'Financial Data - Old Segment'!Q176/'Financial Data - Old Seg -USD'!Q$11</f>
        <v>139.883656</v>
      </c>
      <c r="R118" s="13">
        <f>'Financial Data - Old Segment'!R176/'Financial Data - Old Seg -USD'!R$11</f>
        <v>111.81851399999999</v>
      </c>
      <c r="S118" s="13">
        <f>'Financial Data - Old Segment'!S176/'Financial Data - Old Seg -USD'!S$11</f>
        <v>49.868301999999993</v>
      </c>
      <c r="T118" s="13">
        <f>'Financial Data - Old Segment'!T176/'Financial Data - Old Seg -USD'!T$11</f>
        <v>82.463766000000007</v>
      </c>
      <c r="U118" s="13">
        <f>'Financial Data - Old Segment'!U176/'Financial Data - Old Seg -USD'!U$11</f>
        <v>150.937059</v>
      </c>
      <c r="V118" s="13">
        <f>'Financial Data - Old Segment'!V176/'Financial Data - Old Seg -USD'!V$11</f>
        <v>29.093931837073992</v>
      </c>
      <c r="W118" s="13">
        <f>'Financial Data - Old Segment'!W176/'Financial Data - Old Seg -USD'!W$11</f>
        <v>36.377955999999998</v>
      </c>
      <c r="X118" s="13">
        <f>'Financial Data - Old Segment'!X176/'Financial Data - Old Seg -USD'!X$11</f>
        <v>104.95251200000001</v>
      </c>
      <c r="Y118" s="13">
        <f>'Financial Data - Old Segment'!Y176/'Financial Data - Old Seg -USD'!Y$11</f>
        <v>134.71549913234074</v>
      </c>
      <c r="Z118" s="13">
        <f>'Financial Data - Old Segment'!Z176/'Financial Data - Old Seg -USD'!Z$11</f>
        <v>28.25656965244422</v>
      </c>
      <c r="AA118" s="13">
        <f>'Financial Data - Old Segment'!AA176/'Financial Data - Old Seg -USD'!AA$11</f>
        <v>-20.185177059107474</v>
      </c>
      <c r="AB118" s="13">
        <f>'Financial Data - Old Segment'!AB176/'Financial Data - Old Seg -USD'!AB$11</f>
        <v>29.75548751563241</v>
      </c>
      <c r="AC118" s="13">
        <f>'Financial Data - Old Segment'!AC176/'Financial Data - Old Seg -USD'!AC$11</f>
        <v>88.498965596506082</v>
      </c>
      <c r="AD118" s="13">
        <f>'Financial Data - Old Segment'!AD176/'Financial Data - Old Seg -USD'!AD$11</f>
        <v>-33.875568999999999</v>
      </c>
      <c r="AE118" s="13">
        <f>'Financial Data - Old Segment'!AE176/'Financial Data - Old Seg -USD'!AE$11</f>
        <v>-111.06364801366938</v>
      </c>
      <c r="AF118" s="13">
        <f>'Financial Data - Old Segment'!AF176/'Financial Data - Old Seg -USD'!AF$11</f>
        <v>-111.08818269363039</v>
      </c>
      <c r="AG118" s="13">
        <f>'Financial Data - Old Segment'!AG176/'Financial Data - Old Seg -USD'!AG$11</f>
        <v>-39.528481682783969</v>
      </c>
      <c r="AH118" s="13">
        <f>'Financial Data - Old Segment'!AH176/'Financial Data - Old Seg -USD'!AH$11</f>
        <v>-12.78683</v>
      </c>
      <c r="AI118" s="13">
        <f>'Financial Data - Old Segment'!AI176/'Financial Data - Old Seg -USD'!AI$11</f>
        <v>-32.043793184018206</v>
      </c>
      <c r="AJ118" s="13">
        <f>'Financial Data - Old Segment'!AJ176/'Financial Data - Old Seg -USD'!AJ$11</f>
        <v>64.503296203682766</v>
      </c>
      <c r="AK118" s="13">
        <f>'Financial Data - Old Segment'!AK176/'Financial Data - Old Seg -USD'!AK$11</f>
        <v>57.164843621172977</v>
      </c>
      <c r="AL118" s="13">
        <f>'Financial Data - Old Segment'!AL176/'Financial Data - Old Seg -USD'!AL$11</f>
        <v>82.119129765333128</v>
      </c>
      <c r="AM118" s="13">
        <f>'Financial Data - Old Segment'!AM176/'Financial Data - Old Seg -USD'!AM$11</f>
        <v>107.26049379240467</v>
      </c>
      <c r="AN118" s="13">
        <f>'Financial Data - Old Segment'!AN176/'Financial Data - Old Seg -USD'!AN$11</f>
        <v>155.35936795779324</v>
      </c>
      <c r="AO118" s="13">
        <f>'Financial Data - Old Segment'!AO176/'Financial Data - Old Seg -USD'!AO$11</f>
        <v>173.21279343614705</v>
      </c>
      <c r="AP118" s="13">
        <f>'Financial Data - Old Segment'!AP176/'Financial Data - Old Seg -USD'!AP$11</f>
        <v>91.214068015874759</v>
      </c>
      <c r="AQ118" s="13">
        <f>'Financial Data - Old Segment'!AQ176/'Financial Data - Old Seg -USD'!AQ$11</f>
        <v>101.66605455577441</v>
      </c>
      <c r="AR118" s="13">
        <f>'Financial Data - Old Segment'!AR176/'Financial Data - Old Seg -USD'!AR$11</f>
        <v>127.68100515121012</v>
      </c>
      <c r="AS118" s="13">
        <f>'Financial Data - Old Segment'!AS176/'Financial Data - Old Seg -USD'!AS$11</f>
        <v>77.464288252434017</v>
      </c>
      <c r="AT118" s="13">
        <f>'Financial Data - Old Segment'!AT176/'Financial Data - Old Seg -USD'!AT$11</f>
        <v>64.571944883668507</v>
      </c>
      <c r="AU118" s="13">
        <f>'Financial Data - Old Segment'!AU176/'Financial Data - Old Seg -USD'!AU$11</f>
        <v>43.908218621335621</v>
      </c>
      <c r="AV118" s="13">
        <f>'Financial Data - Old Segment'!AV176/'Financial Data - Old Seg -USD'!AV$11</f>
        <v>85.95030470354537</v>
      </c>
    </row>
    <row r="119" spans="1:48" ht="15" customHeight="1" x14ac:dyDescent="0.2">
      <c r="B119" s="26" t="s">
        <v>149</v>
      </c>
      <c r="C119" s="13">
        <f>'Financial Data - Old Segment'!C177/'Financial Data - Old Seg -USD'!C$11</f>
        <v>-12.1785</v>
      </c>
      <c r="D119" s="13">
        <f>'Financial Data - Old Segment'!D177/'Financial Data - Old Seg -USD'!D$11</f>
        <v>-13.885199999999999</v>
      </c>
      <c r="E119" s="13">
        <f>'Financial Data - Old Segment'!E177/'Financial Data - Old Seg -USD'!E$11</f>
        <v>-13.625592417061601</v>
      </c>
      <c r="F119" s="13">
        <f>'Financial Data - Old Segment'!F177/'Financial Data - Old Seg -USD'!F$11</f>
        <v>-7.8426246650545677</v>
      </c>
      <c r="G119" s="13">
        <f>'Financial Data - Old Segment'!G177/'Financial Data - Old Seg -USD'!G$11</f>
        <v>-9.4466959999999993</v>
      </c>
      <c r="H119" s="13">
        <f>'Financial Data - Old Segment'!H177/'Financial Data - Old Seg -USD'!H$11</f>
        <v>-6.6414300000000006</v>
      </c>
      <c r="I119" s="13">
        <f>'Financial Data - Old Segment'!I177/'Financial Data - Old Seg -USD'!I$11</f>
        <v>-3.9434759999999995</v>
      </c>
      <c r="J119" s="13">
        <f>'Financial Data - Old Segment'!J177/'Financial Data - Old Seg -USD'!J$11</f>
        <v>-1.9051259999999999</v>
      </c>
      <c r="K119" s="13">
        <f>'Financial Data - Old Segment'!K177/'Financial Data - Old Seg -USD'!K$11</f>
        <v>0</v>
      </c>
      <c r="L119" s="13">
        <f>'Financial Data - Old Segment'!L177/'Financial Data - Old Seg -USD'!L$11</f>
        <v>9.0556339999999995</v>
      </c>
      <c r="M119" s="13">
        <f>'Financial Data - Old Segment'!M177/'Financial Data - Old Seg -USD'!M$11</f>
        <v>10.979790000000001</v>
      </c>
      <c r="N119" s="13">
        <f>'Financial Data - Old Segment'!N177/'Financial Data - Old Seg -USD'!N$11</f>
        <v>11.041596</v>
      </c>
      <c r="O119" s="13">
        <f>'Financial Data - Old Segment'!O177/'Financial Data - Old Seg -USD'!O$11</f>
        <v>9.7545059999999992</v>
      </c>
      <c r="P119" s="13">
        <f>'Financial Data - Old Segment'!P177/'Financial Data - Old Seg -USD'!P$11</f>
        <v>10.058771</v>
      </c>
      <c r="Q119" s="13">
        <f>'Financial Data - Old Segment'!Q177/'Financial Data - Old Seg -USD'!Q$11</f>
        <v>8.460704999999999</v>
      </c>
      <c r="R119" s="13">
        <f>'Financial Data - Old Segment'!R177/'Financial Data - Old Seg -USD'!R$11</f>
        <v>3.8748990000000001</v>
      </c>
      <c r="S119" s="13">
        <f>'Financial Data - Old Segment'!S177/'Financial Data - Old Seg -USD'!S$11</f>
        <v>3.9222259999999998</v>
      </c>
      <c r="T119" s="13">
        <f>'Financial Data - Old Segment'!T177/'Financial Data - Old Seg -USD'!T$11</f>
        <v>6.1707580000000002</v>
      </c>
      <c r="U119" s="13">
        <f>'Financial Data - Old Segment'!U177/'Financial Data - Old Seg -USD'!U$11</f>
        <v>9.3990109999999998</v>
      </c>
      <c r="V119" s="13">
        <f>'Financial Data - Old Segment'!V177/'Financial Data - Old Seg -USD'!V$11</f>
        <v>-18.703241895261851</v>
      </c>
      <c r="W119" s="13">
        <f>'Financial Data - Old Segment'!W177/'Financial Data - Old Seg -USD'!W$11</f>
        <v>-34.411579999999994</v>
      </c>
      <c r="X119" s="13">
        <f>'Financial Data - Old Segment'!X177/'Financial Data - Old Seg -USD'!X$11</f>
        <v>-46.385262000000004</v>
      </c>
      <c r="Y119" s="13">
        <f>'Financial Data - Old Segment'!Y177/'Financial Data - Old Seg -USD'!Y$11</f>
        <v>-49.776235272627595</v>
      </c>
      <c r="Z119" s="13">
        <f>'Financial Data - Old Segment'!Z177/'Financial Data - Old Seg -USD'!Z$11</f>
        <v>-53.216539512103282</v>
      </c>
      <c r="AA119" s="13">
        <f>'Financial Data - Old Segment'!AA177/'Financial Data - Old Seg -USD'!AA$11</f>
        <v>-47.391285269208851</v>
      </c>
      <c r="AB119" s="13">
        <f>'Financial Data - Old Segment'!AB177/'Financial Data - Old Seg -USD'!AB$11</f>
        <v>-39.242744404674625</v>
      </c>
      <c r="AC119" s="13">
        <f>'Financial Data - Old Segment'!AC177/'Financial Data - Old Seg -USD'!AC$11</f>
        <v>-25.28541874185888</v>
      </c>
      <c r="AD119" s="13">
        <f>'Financial Data - Old Segment'!AD177/'Financial Data - Old Seg -USD'!AD$11</f>
        <v>-14.145842</v>
      </c>
      <c r="AE119" s="13">
        <f>'Financial Data - Old Segment'!AE177/'Financial Data - Old Seg -USD'!AE$11</f>
        <v>-12.815036309269543</v>
      </c>
      <c r="AF119" s="13">
        <f>'Financial Data - Old Segment'!AF177/'Financial Data - Old Seg -USD'!AF$11</f>
        <v>-13.413124226165898</v>
      </c>
      <c r="AG119" s="13">
        <f>'Financial Data - Old Segment'!AG177/'Financial Data - Old Seg -USD'!AG$11</f>
        <v>-13.411449142373133</v>
      </c>
      <c r="AH119" s="13">
        <f>'Financial Data - Old Segment'!AH177/'Financial Data - Old Seg -USD'!AH$11</f>
        <v>-30.411920000000002</v>
      </c>
      <c r="AI119" s="13">
        <f>'Financial Data - Old Segment'!AI177/'Financial Data - Old Seg -USD'!AI$11</f>
        <v>-43.058847091024468</v>
      </c>
      <c r="AJ119" s="13">
        <f>'Financial Data - Old Segment'!AJ177/'Financial Data - Old Seg -USD'!AJ$11</f>
        <v>-62.514207774494302</v>
      </c>
      <c r="AK119" s="13">
        <f>'Financial Data - Old Segment'!AK177/'Financial Data - Old Seg -USD'!AK$11</f>
        <v>-78.601659979112839</v>
      </c>
      <c r="AL119" s="13">
        <f>'Financial Data - Old Segment'!AL177/'Financial Data - Old Seg -USD'!AL$11</f>
        <v>-90.673205782555328</v>
      </c>
      <c r="AM119" s="13">
        <f>'Financial Data - Old Segment'!AM177/'Financial Data - Old Seg -USD'!AM$11</f>
        <v>-100.22240364854611</v>
      </c>
      <c r="AN119" s="13">
        <f>'Financial Data - Old Segment'!AN177/'Financial Data - Old Seg -USD'!AN$11</f>
        <v>-104.19152151435622</v>
      </c>
      <c r="AO119" s="13">
        <f>'Financial Data - Old Segment'!AO177/'Financial Data - Old Seg -USD'!AO$11</f>
        <v>-104.83932234293111</v>
      </c>
      <c r="AP119" s="13">
        <f>'Financial Data - Old Segment'!AP177/'Financial Data - Old Seg -USD'!AP$11</f>
        <v>-73.672901089744997</v>
      </c>
      <c r="AQ119" s="13">
        <f>'Financial Data - Old Segment'!AQ177/'Financial Data - Old Seg -USD'!AQ$11</f>
        <v>-47.076892257353663</v>
      </c>
      <c r="AR119" s="13">
        <f>'Financial Data - Old Segment'!AR177/'Financial Data - Old Seg -USD'!AR$11</f>
        <v>-17.968408447223894</v>
      </c>
      <c r="AS119" s="13">
        <f>'Financial Data - Old Segment'!AS177/'Financial Data - Old Seg -USD'!AS$11</f>
        <v>-12.614597398905538</v>
      </c>
      <c r="AT119" s="13">
        <f>'Financial Data - Old Segment'!AT177/'Financial Data - Old Seg -USD'!AT$11</f>
        <v>-12.28666747754168</v>
      </c>
      <c r="AU119" s="13">
        <f>'Financial Data - Old Segment'!AU177/'Financial Data - Old Seg -USD'!AU$11</f>
        <v>-11.792687883232336</v>
      </c>
      <c r="AV119" s="93"/>
    </row>
    <row r="120" spans="1:48" ht="15" customHeight="1" x14ac:dyDescent="0.2">
      <c r="B120" s="26" t="s">
        <v>148</v>
      </c>
      <c r="C120" s="13">
        <f>'Financial Data - Old Segment'!C178/'Financial Data - Old Seg -USD'!C$11</f>
        <v>243.57</v>
      </c>
      <c r="D120" s="13">
        <f>'Financial Data - Old Segment'!D178/'Financial Data - Old Seg -USD'!D$11</f>
        <v>185.7972</v>
      </c>
      <c r="E120" s="13">
        <f>'Financial Data - Old Segment'!E178/'Financial Data - Old Seg -USD'!E$11</f>
        <v>146.32701421800937</v>
      </c>
      <c r="F120" s="13">
        <f>'Financial Data - Old Segment'!F178/'Financial Data - Old Seg -USD'!F$11</f>
        <v>172.5377426312005</v>
      </c>
      <c r="G120" s="13">
        <f>'Financial Data - Old Segment'!G178/'Financial Data - Old Seg -USD'!G$11</f>
        <v>185.56010000000001</v>
      </c>
      <c r="H120" s="13">
        <f>'Financial Data - Old Segment'!H178/'Financial Data - Old Seg -USD'!H$11</f>
        <v>193.929756</v>
      </c>
      <c r="I120" s="13">
        <f>'Financial Data - Old Segment'!I178/'Financial Data - Old Seg -USD'!I$11</f>
        <v>178.77091199999998</v>
      </c>
      <c r="J120" s="13">
        <f>'Financial Data - Old Segment'!J178/'Financial Data - Old Seg -USD'!J$11</f>
        <v>170.19125599999998</v>
      </c>
      <c r="K120" s="13">
        <f>'Financial Data - Old Segment'!K178/'Financial Data - Old Seg -USD'!K$11</f>
        <v>188.80928999999998</v>
      </c>
      <c r="L120" s="13">
        <f>'Financial Data - Old Segment'!L178/'Financial Data - Old Seg -USD'!L$11</f>
        <v>192.755638</v>
      </c>
      <c r="M120" s="13">
        <f>'Financial Data - Old Segment'!M178/'Financial Data - Old Seg -USD'!M$11</f>
        <v>193.76100000000002</v>
      </c>
      <c r="N120" s="13">
        <f>'Financial Data - Old Segment'!N178/'Financial Data - Old Seg -USD'!N$11</f>
        <v>210.40374600000001</v>
      </c>
      <c r="O120" s="13">
        <f>'Financial Data - Old Segment'!O178/'Financial Data - Old Seg -USD'!O$11</f>
        <v>192.92245199999999</v>
      </c>
      <c r="P120" s="13">
        <f>'Financial Data - Old Segment'!P178/'Financial Data - Old Seg -USD'!P$11</f>
        <v>206.998919</v>
      </c>
      <c r="Q120" s="13">
        <f>'Financial Data - Old Segment'!Q178/'Financial Data - Old Seg -USD'!Q$11</f>
        <v>232.95141099999998</v>
      </c>
      <c r="R120" s="13">
        <f>'Financial Data - Old Segment'!R178/'Financial Data - Old Seg -USD'!R$11</f>
        <v>253.52910599999998</v>
      </c>
      <c r="S120" s="13">
        <f>'Financial Data - Old Segment'!S178/'Financial Data - Old Seg -USD'!S$11</f>
        <v>230.29069799999999</v>
      </c>
      <c r="T120" s="13">
        <f>'Financial Data - Old Segment'!T178/'Financial Data - Old Seg -USD'!T$11</f>
        <v>430.270126</v>
      </c>
      <c r="U120" s="13">
        <f>'Financial Data - Old Segment'!U178/'Financial Data - Old Seg -USD'!U$11</f>
        <v>432.35450600000001</v>
      </c>
      <c r="V120" s="13">
        <f>'Financial Data - Old Segment'!V178/'Financial Data - Old Seg -USD'!V$11</f>
        <v>392.24854530340826</v>
      </c>
      <c r="W120" s="13">
        <f>'Financial Data - Old Segment'!W178/'Financial Data - Old Seg -USD'!W$11</f>
        <v>329.36797999999999</v>
      </c>
      <c r="X120" s="13">
        <f>'Financial Data - Old Segment'!X178/'Financial Data - Old Seg -USD'!X$11</f>
        <v>322.35414400000002</v>
      </c>
      <c r="Y120" s="13">
        <f>'Financial Data - Old Segment'!Y178/'Financial Data - Old Seg -USD'!Y$11</f>
        <v>321.49054708192506</v>
      </c>
      <c r="Z120" s="13">
        <f>'Financial Data - Old Segment'!Z178/'Financial Data - Old Seg -USD'!Z$11</f>
        <v>349.91052086276761</v>
      </c>
      <c r="AA120" s="13">
        <f>'Financial Data - Old Segment'!AA178/'Financial Data - Old Seg -USD'!AA$11</f>
        <v>307.60454605292045</v>
      </c>
      <c r="AB120" s="13">
        <f>'Financial Data - Old Segment'!AB178/'Financial Data - Old Seg -USD'!AB$11</f>
        <v>274.26797188322047</v>
      </c>
      <c r="AC120" s="13">
        <f>'Financial Data - Old Segment'!AC178/'Financial Data - Old Seg -USD'!AC$11</f>
        <v>254.38663703930752</v>
      </c>
      <c r="AD120" s="13">
        <f>'Financial Data - Old Segment'!AD178/'Financial Data - Old Seg -USD'!AD$11</f>
        <v>320.51499899999999</v>
      </c>
      <c r="AE120" s="13">
        <f>'Financial Data - Old Segment'!AE178/'Financial Data - Old Seg -USD'!AE$11</f>
        <v>302.96060197811585</v>
      </c>
      <c r="AF120" s="13">
        <f>'Financial Data - Old Segment'!AF178/'Financial Data - Old Seg -USD'!AF$11</f>
        <v>295.77658550006851</v>
      </c>
      <c r="AG120" s="13">
        <f>'Financial Data - Old Segment'!AG178/'Financial Data - Old Seg -USD'!AG$11</f>
        <v>272.81711018564295</v>
      </c>
      <c r="AH120" s="13">
        <f>'Financial Data - Old Segment'!AH178/'Financial Data - Old Seg -USD'!AH$11</f>
        <v>267.14107000000001</v>
      </c>
      <c r="AI120" s="13">
        <f>'Financial Data - Old Segment'!AI178/'Financial Data - Old Seg -USD'!AI$11</f>
        <v>258.01929303381326</v>
      </c>
      <c r="AJ120" s="13">
        <f>'Financial Data - Old Segment'!AJ178/'Financial Data - Old Seg -USD'!AJ$11</f>
        <v>227.32439190725202</v>
      </c>
      <c r="AK120" s="13">
        <f>'Financial Data - Old Segment'!AK178/'Financial Data - Old Seg -USD'!AK$11</f>
        <v>202.82526246358489</v>
      </c>
      <c r="AL120" s="13">
        <f>'Financial Data - Old Segment'!AL178/'Financial Data - Old Seg -USD'!AL$11</f>
        <v>215.56271563399946</v>
      </c>
      <c r="AM120" s="13">
        <f>'Financial Data - Old Segment'!AM178/'Financial Data - Old Seg -USD'!AM$11</f>
        <v>266.60285464936277</v>
      </c>
      <c r="AN120" s="13">
        <f>'Financial Data - Old Segment'!AN178/'Financial Data - Old Seg -USD'!AN$11</f>
        <v>212.35981865903139</v>
      </c>
      <c r="AO120" s="13">
        <f>'Financial Data - Old Segment'!AO178/'Financial Data - Old Seg -USD'!AO$11</f>
        <v>191.69895413912764</v>
      </c>
      <c r="AP120" s="13">
        <f>'Financial Data - Old Segment'!AP178/'Financial Data - Old Seg -USD'!AP$11</f>
        <v>197.1188633323832</v>
      </c>
      <c r="AQ120" s="13">
        <f>'Financial Data - Old Segment'!AQ178/'Financial Data - Old Seg -USD'!AQ$11</f>
        <v>196.65453574171141</v>
      </c>
      <c r="AR120" s="13">
        <f>'Financial Data - Old Segment'!AR178/'Financial Data - Old Seg -USD'!AR$11</f>
        <v>158.46014940409466</v>
      </c>
      <c r="AS120" s="13">
        <f>'Financial Data - Old Segment'!AS178/'Financial Data - Old Seg -USD'!AS$11</f>
        <v>214.09281500959401</v>
      </c>
      <c r="AT120" s="13">
        <f>'Financial Data - Old Segment'!AT178/'Financial Data - Old Seg -USD'!AT$11</f>
        <v>222.35321714653128</v>
      </c>
      <c r="AU120" s="13">
        <f>'Financial Data - Old Segment'!AU178/'Financial Data - Old Seg -USD'!AU$11</f>
        <v>215.39220017317277</v>
      </c>
      <c r="AV120" s="13">
        <f>'Financial Data - Old Segment'!AV178/'Financial Data - Old Seg -USD'!AV$11</f>
        <v>211.4975758391974</v>
      </c>
    </row>
    <row r="121" spans="1:48" ht="15" customHeight="1" x14ac:dyDescent="0.2">
      <c r="A121" s="63" t="s">
        <v>79</v>
      </c>
      <c r="B121" s="49" t="s">
        <v>146</v>
      </c>
      <c r="C121" s="50">
        <f>'Financial Data - Old Segment'!C179/'Financial Data - Old Seg -USD'!C$11</f>
        <v>-56.832999999999998</v>
      </c>
      <c r="D121" s="50">
        <f>'Financial Data - Old Segment'!D179/'Financial Data - Old Seg -USD'!D$11</f>
        <v>-74.054400000000001</v>
      </c>
      <c r="E121" s="50">
        <f>'Financial Data - Old Segment'!E179/'Financial Data - Old Seg -USD'!E$11</f>
        <v>-127.3696682464454</v>
      </c>
      <c r="F121" s="50">
        <f>'Financial Data - Old Segment'!F179/'Financial Data - Old Seg -USD'!F$11</f>
        <v>-57.512580877066831</v>
      </c>
      <c r="G121" s="50">
        <f>'Financial Data - Old Segment'!G179/'Financial Data - Old Seg -USD'!G$11</f>
        <v>-13.495279999999999</v>
      </c>
      <c r="H121" s="50">
        <f>'Financial Data - Old Segment'!H179/'Financial Data - Old Seg -USD'!H$11</f>
        <v>32.543007000000003</v>
      </c>
      <c r="I121" s="50">
        <f>'Financial Data - Old Segment'!I179/'Financial Data - Old Seg -USD'!I$11</f>
        <v>88.070963999999989</v>
      </c>
      <c r="J121" s="50">
        <f>'Financial Data - Old Segment'!J179/'Financial Data - Old Seg -USD'!J$11</f>
        <v>55.883696</v>
      </c>
      <c r="K121" s="50">
        <f>'Financial Data - Old Segment'!K179/'Financial Data - Old Seg -USD'!K$11</f>
        <v>65.463074999999989</v>
      </c>
      <c r="L121" s="50">
        <f>'Financial Data - Old Segment'!L179/'Financial Data - Old Seg -USD'!L$11</f>
        <v>182.406342</v>
      </c>
      <c r="M121" s="50">
        <f>'Financial Data - Old Segment'!M179/'Financial Data - Old Seg -USD'!M$11</f>
        <v>240.26364000000004</v>
      </c>
      <c r="N121" s="50">
        <f>'Financial Data - Old Segment'!N179/'Financial Data - Old Seg -USD'!N$11</f>
        <v>187.707132</v>
      </c>
      <c r="O121" s="50">
        <f>'Financial Data - Old Segment'!O179/'Financial Data - Old Seg -USD'!O$11</f>
        <v>102.96423</v>
      </c>
      <c r="P121" s="50">
        <f>'Financial Data - Old Segment'!P179/'Financial Data - Old Seg -USD'!P$11</f>
        <v>199.057784</v>
      </c>
      <c r="Q121" s="50">
        <f>'Financial Data - Old Segment'!Q179/'Financial Data - Old Seg -USD'!Q$11</f>
        <v>254.38519699999998</v>
      </c>
      <c r="R121" s="50">
        <f>'Financial Data - Old Segment'!R179/'Financial Data - Old Seg -USD'!R$11</f>
        <v>210.90521699999999</v>
      </c>
      <c r="S121" s="50">
        <f>'Financial Data - Old Segment'!S179/'Financial Data - Old Seg -USD'!S$11</f>
        <v>148.48426999999998</v>
      </c>
      <c r="T121" s="50">
        <f>'Financial Data - Old Segment'!T179/'Financial Data - Old Seg -USD'!T$11</f>
        <v>356.22102999999998</v>
      </c>
      <c r="U121" s="50">
        <f>'Financial Data - Old Segment'!U179/'Financial Data - Old Seg -USD'!U$11</f>
        <v>377.61908900000003</v>
      </c>
      <c r="V121" s="50">
        <f>'Financial Data - Old Segment'!V179/'Financial Data - Old Seg -USD'!V$11</f>
        <v>196.38403990024943</v>
      </c>
      <c r="W121" s="50">
        <f>'Financial Data - Old Segment'!W179/'Financial Data - Old Seg -USD'!W$11</f>
        <v>50.142587999999996</v>
      </c>
      <c r="X121" s="50">
        <f>'Financial Data - Old Segment'!X179/'Financial Data - Old Seg -USD'!X$11</f>
        <v>90.896372000000014</v>
      </c>
      <c r="Y121" s="50">
        <f>'Financial Data - Old Segment'!Y179/'Financial Data - Old Seg -USD'!Y$11</f>
        <v>172.16184126404224</v>
      </c>
      <c r="Z121" s="50">
        <f>'Financial Data - Old Segment'!Z179/'Financial Data - Old Seg -USD'!Z$11</f>
        <v>59.809739097673599</v>
      </c>
      <c r="AA121" s="50">
        <f>'Financial Data - Old Segment'!AA179/'Financial Data - Old Seg -USD'!AA$11</f>
        <v>-29.838957391724094</v>
      </c>
      <c r="AB121" s="50">
        <f>'Financial Data - Old Segment'!AB179/'Financial Data - Old Seg -USD'!AB$11</f>
        <v>0.86247789900383798</v>
      </c>
      <c r="AC121" s="50">
        <f>'Financial Data - Old Segment'!AC179/'Financial Data - Old Seg -USD'!AC$11</f>
        <v>42.142364569764801</v>
      </c>
      <c r="AD121" s="50">
        <f>'Financial Data - Old Segment'!AD179/'Financial Data - Old Seg -USD'!AD$11</f>
        <v>13.029064999999999</v>
      </c>
      <c r="AE121" s="50">
        <f>'Financial Data - Old Segment'!AE179/'Financial Data - Old Seg -USD'!AE$11</f>
        <v>-76.561627181020611</v>
      </c>
      <c r="AF121" s="50">
        <f>'Financial Data - Old Segment'!AF179/'Financial Data - Old Seg -USD'!AF$11</f>
        <v>-62.594579722107525</v>
      </c>
      <c r="AG121" s="50">
        <f>'Financial Data - Old Segment'!AG179/'Financial Data - Old Seg -USD'!AG$11</f>
        <v>28.234629773417122</v>
      </c>
      <c r="AH121" s="50">
        <f>'Financial Data - Old Segment'!AH179/'Financial Data - Old Seg -USD'!AH$11</f>
        <v>54.257630000000006</v>
      </c>
      <c r="AI121" s="50">
        <f>'Financial Data - Old Segment'!AI179/'Financial Data - Old Seg -USD'!AI$11</f>
        <v>38.052004406021624</v>
      </c>
      <c r="AJ121" s="50">
        <f>'Financial Data - Old Segment'!AJ179/'Financial Data - Old Seg -USD'!AJ$11</f>
        <v>94.339622641509592</v>
      </c>
      <c r="AK121" s="50">
        <f>'Financial Data - Old Segment'!AK179/'Financial Data - Old Seg -USD'!AK$11</f>
        <v>525.75166272742263</v>
      </c>
      <c r="AL121" s="50">
        <f>'Financial Data - Old Segment'!AL179/'Financial Data - Old Seg -USD'!AL$11</f>
        <v>503.83507741438763</v>
      </c>
      <c r="AM121" s="50">
        <f>'Financial Data - Old Segment'!AM179/'Financial Data - Old Seg -USD'!AM$11</f>
        <v>487.31736156076767</v>
      </c>
      <c r="AN121" s="50">
        <f>'Financial Data - Old Segment'!AN179/'Financial Data - Old Seg -USD'!AN$11</f>
        <v>566.292849757417</v>
      </c>
      <c r="AO121" s="50">
        <f>'Financial Data - Old Segment'!AO179/'Financial Data - Old Seg -USD'!AO$11</f>
        <v>681.45559522905216</v>
      </c>
      <c r="AP121" s="50">
        <f>'Financial Data - Old Segment'!AP179/'Financial Data - Old Seg -USD'!AP$11</f>
        <v>628.19304054202212</v>
      </c>
      <c r="AQ121" s="50">
        <f>'Financial Data - Old Segment'!AQ179/'Financial Data - Old Seg -USD'!AQ$11</f>
        <v>571.93415912657326</v>
      </c>
      <c r="AR121" s="50">
        <f>'Financial Data - Old Segment'!AR179/'Financial Data - Old Seg -USD'!AR$11</f>
        <v>683.44199661654989</v>
      </c>
      <c r="AS121" s="50">
        <f>'Financial Data - Old Segment'!AS179/'Financial Data - Old Seg -USD'!AS$11</f>
        <v>746.39329116622764</v>
      </c>
      <c r="AT121" s="50">
        <f>'Financial Data - Old Segment'!AT179/'Financial Data - Old Seg -USD'!AT$11</f>
        <v>626.58025056037366</v>
      </c>
      <c r="AU121" s="50">
        <f>'Financial Data - Old Segment'!AU179/'Financial Data - Old Seg -USD'!AU$11</f>
        <v>619.96695587637714</v>
      </c>
      <c r="AV121" s="50">
        <f>'Financial Data - Old Segment'!AV179/'Financial Data - Old Seg -USD'!AV$11</f>
        <v>560.42271303996517</v>
      </c>
    </row>
    <row r="122" spans="1:48" x14ac:dyDescent="0.2">
      <c r="A122" s="63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</row>
    <row r="125" spans="1:48" ht="15" x14ac:dyDescent="0.2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O125"/>
    </row>
  </sheetData>
  <hyperlinks>
    <hyperlink ref="B4" location="'Financial Data - Old Seg -USD'!A42" display="Summary Consolidated Income Statement (Quarterly)" xr:uid="{7C02CC26-5890-476E-B7A2-D347E347C3C5}"/>
    <hyperlink ref="B3" location="'Financial Data - Old Seg -USD'!A26" display="Summary Consolidated Income Statement (Cumulative)" xr:uid="{8E5BDA1C-5FC2-4F9A-824B-F86992D9F3C3}"/>
    <hyperlink ref="B5" location="'Financial Data - Old Seg -USD'!A70" display="Consolidated Revenues, EBITDA &amp; Net Income (Cumulative)" xr:uid="{38462C21-1695-4177-B624-264A77849F85}"/>
    <hyperlink ref="B6" location="'Financial Data - Old Seg -USD'!A98" display="Consolidated Revenues, EBITDA &amp; Net Income (Quarterly)" xr:uid="{A04BADF0-EB31-4AA8-A04F-33AA254D4EF0}"/>
    <hyperlink ref="A26" location="'Financial Data - Old Segment'!A1" display="Up" xr:uid="{7FAD1E56-B406-4CA1-83E3-4F5D08ED4E14}"/>
    <hyperlink ref="B8" location="'Financial Data - Old Segment'!A121" display="Net Cash Position" xr:uid="{B3A9BCE8-A3EB-485E-9E8A-BD1501FD195E}"/>
    <hyperlink ref="B7" location="'Financial Data - Old Segment'!A112" display="Segmental information related to property, plant and equipment, intangible assets, investment property" xr:uid="{B7A78407-3DE7-41F1-AD0B-39CD00B36894}"/>
    <hyperlink ref="A42" location="'Financial Data - Old Segment'!A1" display="Up" xr:uid="{B1759A67-542B-4A40-80C7-E9B4768FF405}"/>
    <hyperlink ref="A70" location="'Financial Data - Old Segment'!A1" display="Up" xr:uid="{426A9D71-19A0-47CF-A6C2-CA6008D40F2F}"/>
    <hyperlink ref="A98" location="'Financial Data - Old Segment'!A1" display="Up" xr:uid="{69A15115-0675-4EC7-9D84-3B30DAAA801E}"/>
    <hyperlink ref="A112" location="'Financial Data - Old Segment'!A1" display="Up" xr:uid="{606DACC4-22E1-4D9D-911D-390ACEA062FB}"/>
    <hyperlink ref="A121" location="'Financial Data - Old Segment'!A1" display="Up" xr:uid="{9ABAD3CC-3DA3-4A80-858A-91048C37CEF0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Main Page</vt:lpstr>
      <vt:lpstr>Operational Data</vt:lpstr>
      <vt:lpstr>Financial Data - New Segment</vt:lpstr>
      <vt:lpstr>Financial Data - New - USD</vt:lpstr>
      <vt:lpstr>Financial Data - Old Segment</vt:lpstr>
      <vt:lpstr>Financial Data - Old Seg -USD</vt:lpstr>
      <vt:lpstr>'Financial Data - New - USD'!Print_Area</vt:lpstr>
      <vt:lpstr>'Financial Data - New Segment'!Print_Area</vt:lpstr>
      <vt:lpstr>'Financial Data - Old Seg -USD'!Print_Area</vt:lpstr>
      <vt:lpstr>'Financial Data - Old Segment'!Print_Area</vt:lpstr>
      <vt:lpstr>'Main Page'!Print_Area</vt:lpstr>
      <vt:lpstr>'Operational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2021-10-26T15:31:26Z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