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1Q21\First_Draft\"/>
    </mc:Choice>
  </mc:AlternateContent>
  <xr:revisionPtr revIDLastSave="0" documentId="13_ncr:1_{E0A3E1DF-EB6B-43F7-8324-A36DA33F9B03}" xr6:coauthVersionLast="46" xr6:coauthVersionMax="46" xr10:uidLastSave="{00000000-0000-0000-0000-000000000000}"/>
  <bookViews>
    <workbookView xWindow="-108" yWindow="-108" windowWidth="23256" windowHeight="12576" tabRatio="878" xr2:uid="{00000000-000D-0000-FFFF-FFFF00000000}"/>
  </bookViews>
  <sheets>
    <sheet name="Kapak" sheetId="5" r:id="rId1"/>
    <sheet name="Operasyonel Veriler" sheetId="1" r:id="rId2"/>
    <sheet name="Finansal Veriler - Yeni Segment" sheetId="6" r:id="rId3"/>
    <sheet name="Finansal Veriler - Yeni - USD" sheetId="8" r:id="rId4"/>
    <sheet name="Finansal Veriler - Eski Segment" sheetId="2" r:id="rId5"/>
  </sheets>
  <definedNames>
    <definedName name="_xlnm.Print_Area" localSheetId="4">'Finansal Veriler - Eski Segment'!$B$14:$AO$192</definedName>
    <definedName name="_xlnm.Print_Area" localSheetId="3">'Finansal Veriler - Yeni - USD'!$B$15:$B$146</definedName>
    <definedName name="_xlnm.Print_Area" localSheetId="2">'Finansal Veriler - Yeni Segment'!$B$16:$B$217</definedName>
    <definedName name="_xlnm.Print_Area" localSheetId="0">Kapak!$A$1:$H$32</definedName>
    <definedName name="_xlnm.Print_Area" localSheetId="1">'Operasyonel Veriler'!$B$6:$AO$150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A137" i="1" l="1"/>
  <c r="BA126" i="1"/>
  <c r="BA107" i="1"/>
  <c r="K134" i="8"/>
  <c r="K133" i="8"/>
  <c r="K132" i="8"/>
  <c r="K131" i="8"/>
  <c r="K130" i="8"/>
  <c r="K129" i="8"/>
  <c r="K128" i="8"/>
  <c r="K127" i="8"/>
  <c r="K126" i="8"/>
  <c r="K125" i="8"/>
  <c r="K124" i="8"/>
  <c r="K123" i="8"/>
  <c r="K139" i="8"/>
  <c r="K140" i="8"/>
  <c r="K141" i="8"/>
  <c r="K142" i="8"/>
  <c r="K143" i="8"/>
  <c r="K14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116" i="8" s="1"/>
  <c r="K88" i="8"/>
  <c r="K115" i="8" s="1"/>
  <c r="K87" i="8"/>
  <c r="K86" i="8"/>
  <c r="K118" i="8"/>
  <c r="J118" i="8"/>
  <c r="I118" i="8"/>
  <c r="H118" i="8"/>
  <c r="G118" i="8"/>
  <c r="F118" i="8"/>
  <c r="E118" i="8"/>
  <c r="D118" i="8"/>
  <c r="C118" i="8"/>
  <c r="K117" i="8"/>
  <c r="J117" i="8"/>
  <c r="I117" i="8"/>
  <c r="H117" i="8"/>
  <c r="G117" i="8"/>
  <c r="F117" i="8"/>
  <c r="E117" i="8"/>
  <c r="D117" i="8"/>
  <c r="C117" i="8"/>
  <c r="J116" i="8"/>
  <c r="I116" i="8"/>
  <c r="H116" i="8"/>
  <c r="G116" i="8"/>
  <c r="F116" i="8"/>
  <c r="E116" i="8"/>
  <c r="D116" i="8"/>
  <c r="C116" i="8"/>
  <c r="J115" i="8"/>
  <c r="I115" i="8"/>
  <c r="H115" i="8"/>
  <c r="G115" i="8"/>
  <c r="F115" i="8"/>
  <c r="E115" i="8"/>
  <c r="D115" i="8"/>
  <c r="C115" i="8"/>
  <c r="K114" i="8"/>
  <c r="J114" i="8"/>
  <c r="I114" i="8"/>
  <c r="H114" i="8"/>
  <c r="G114" i="8"/>
  <c r="F114" i="8"/>
  <c r="E114" i="8"/>
  <c r="D114" i="8"/>
  <c r="C114" i="8"/>
  <c r="K113" i="8"/>
  <c r="J113" i="8"/>
  <c r="I113" i="8"/>
  <c r="H113" i="8"/>
  <c r="G113" i="8"/>
  <c r="F113" i="8"/>
  <c r="E113" i="8"/>
  <c r="D113" i="8"/>
  <c r="C113" i="8"/>
  <c r="K112" i="8"/>
  <c r="J112" i="8"/>
  <c r="I112" i="8"/>
  <c r="H112" i="8"/>
  <c r="G112" i="8"/>
  <c r="F112" i="8"/>
  <c r="E112" i="8"/>
  <c r="D112" i="8"/>
  <c r="C112" i="8"/>
  <c r="K111" i="8"/>
  <c r="J111" i="8"/>
  <c r="I111" i="8"/>
  <c r="H111" i="8"/>
  <c r="G111" i="8"/>
  <c r="F111" i="8"/>
  <c r="E111" i="8"/>
  <c r="D111" i="8"/>
  <c r="C111" i="8"/>
  <c r="K110" i="8"/>
  <c r="J110" i="8"/>
  <c r="I110" i="8"/>
  <c r="H110" i="8"/>
  <c r="G110" i="8"/>
  <c r="F110" i="8"/>
  <c r="E110" i="8"/>
  <c r="D110" i="8"/>
  <c r="C110" i="8"/>
  <c r="K109" i="8"/>
  <c r="J109" i="8"/>
  <c r="I109" i="8"/>
  <c r="H109" i="8"/>
  <c r="G109" i="8"/>
  <c r="F109" i="8"/>
  <c r="E109" i="8"/>
  <c r="D109" i="8"/>
  <c r="C109" i="8"/>
  <c r="K108" i="8"/>
  <c r="J108" i="8"/>
  <c r="I108" i="8"/>
  <c r="H108" i="8"/>
  <c r="G108" i="8"/>
  <c r="F108" i="8"/>
  <c r="E108" i="8"/>
  <c r="D108" i="8"/>
  <c r="C108" i="8"/>
  <c r="K107" i="8"/>
  <c r="J107" i="8"/>
  <c r="I107" i="8"/>
  <c r="H107" i="8"/>
  <c r="G107" i="8"/>
  <c r="F107" i="8"/>
  <c r="E107" i="8"/>
  <c r="D107" i="8"/>
  <c r="C107" i="8"/>
  <c r="K81" i="8"/>
  <c r="J81" i="8"/>
  <c r="I81" i="8"/>
  <c r="H81" i="8"/>
  <c r="G81" i="8"/>
  <c r="F81" i="8"/>
  <c r="E81" i="8"/>
  <c r="D81" i="8"/>
  <c r="C81" i="8"/>
  <c r="K80" i="8"/>
  <c r="J80" i="8"/>
  <c r="I80" i="8"/>
  <c r="H80" i="8"/>
  <c r="G80" i="8"/>
  <c r="F80" i="8"/>
  <c r="E80" i="8"/>
  <c r="D80" i="8"/>
  <c r="C80" i="8"/>
  <c r="K79" i="8"/>
  <c r="J79" i="8"/>
  <c r="I79" i="8"/>
  <c r="H79" i="8"/>
  <c r="G79" i="8"/>
  <c r="F79" i="8"/>
  <c r="E79" i="8"/>
  <c r="D79" i="8"/>
  <c r="C79" i="8"/>
  <c r="K78" i="8"/>
  <c r="J78" i="8"/>
  <c r="I78" i="8"/>
  <c r="H78" i="8"/>
  <c r="G78" i="8"/>
  <c r="F78" i="8"/>
  <c r="E78" i="8"/>
  <c r="D78" i="8"/>
  <c r="C78" i="8"/>
  <c r="K77" i="8"/>
  <c r="J77" i="8"/>
  <c r="I77" i="8"/>
  <c r="H77" i="8"/>
  <c r="G77" i="8"/>
  <c r="F77" i="8"/>
  <c r="E77" i="8"/>
  <c r="D77" i="8"/>
  <c r="C77" i="8"/>
  <c r="K76" i="8"/>
  <c r="J76" i="8"/>
  <c r="I76" i="8"/>
  <c r="H76" i="8"/>
  <c r="G76" i="8"/>
  <c r="F76" i="8"/>
  <c r="E76" i="8"/>
  <c r="D76" i="8"/>
  <c r="C76" i="8"/>
  <c r="K75" i="8"/>
  <c r="J75" i="8"/>
  <c r="I75" i="8"/>
  <c r="H75" i="8"/>
  <c r="G75" i="8"/>
  <c r="F75" i="8"/>
  <c r="E75" i="8"/>
  <c r="D75" i="8"/>
  <c r="C75" i="8"/>
  <c r="K74" i="8"/>
  <c r="J74" i="8"/>
  <c r="I74" i="8"/>
  <c r="H74" i="8"/>
  <c r="G74" i="8"/>
  <c r="F74" i="8"/>
  <c r="E74" i="8"/>
  <c r="D74" i="8"/>
  <c r="C74" i="8"/>
  <c r="K73" i="8"/>
  <c r="J73" i="8"/>
  <c r="I73" i="8"/>
  <c r="H73" i="8"/>
  <c r="G73" i="8"/>
  <c r="F73" i="8"/>
  <c r="E73" i="8"/>
  <c r="D73" i="8"/>
  <c r="C73" i="8"/>
  <c r="K72" i="8"/>
  <c r="J72" i="8"/>
  <c r="I72" i="8"/>
  <c r="H72" i="8"/>
  <c r="G72" i="8"/>
  <c r="F72" i="8"/>
  <c r="E72" i="8"/>
  <c r="D72" i="8"/>
  <c r="C72" i="8"/>
  <c r="K71" i="8"/>
  <c r="J71" i="8"/>
  <c r="I71" i="8"/>
  <c r="H71" i="8"/>
  <c r="G71" i="8"/>
  <c r="F71" i="8"/>
  <c r="E71" i="8"/>
  <c r="D71" i="8"/>
  <c r="C71" i="8"/>
  <c r="K70" i="8"/>
  <c r="J70" i="8"/>
  <c r="I70" i="8"/>
  <c r="H70" i="8"/>
  <c r="G70" i="8"/>
  <c r="F70" i="8"/>
  <c r="E70" i="8"/>
  <c r="D70" i="8"/>
  <c r="C70" i="8"/>
  <c r="K49" i="8"/>
  <c r="K50" i="8"/>
  <c r="K51" i="8"/>
  <c r="K52" i="8"/>
  <c r="K53" i="8"/>
  <c r="K54" i="8"/>
  <c r="K55" i="8"/>
  <c r="K56" i="8"/>
  <c r="K57" i="8"/>
  <c r="K60" i="8" s="1"/>
  <c r="K58" i="8"/>
  <c r="K59" i="8"/>
  <c r="K61" i="8"/>
  <c r="K62" i="8"/>
  <c r="K63" i="8"/>
  <c r="K64" i="8"/>
  <c r="K65" i="8"/>
  <c r="K66" i="8"/>
  <c r="K43" i="8"/>
  <c r="K44" i="8" s="1"/>
  <c r="K42" i="8"/>
  <c r="K41" i="8"/>
  <c r="K40" i="8"/>
  <c r="K38" i="8"/>
  <c r="K39" i="8" s="1"/>
  <c r="K36" i="8"/>
  <c r="K37" i="8" s="1"/>
  <c r="K35" i="8"/>
  <c r="K34" i="8"/>
  <c r="K33" i="8"/>
  <c r="K214" i="6"/>
  <c r="K213" i="6"/>
  <c r="K217" i="6"/>
  <c r="K216" i="6"/>
  <c r="K215" i="6"/>
  <c r="K212" i="6"/>
  <c r="K211" i="6"/>
  <c r="K210" i="6"/>
  <c r="K209" i="6"/>
  <c r="K174" i="6" l="1"/>
  <c r="K171" i="6"/>
  <c r="K82" i="6"/>
  <c r="J82" i="6"/>
  <c r="I82" i="6"/>
  <c r="H82" i="6"/>
  <c r="G82" i="6"/>
  <c r="F82" i="6"/>
  <c r="E82" i="6"/>
  <c r="D82" i="6"/>
  <c r="C82" i="6"/>
  <c r="K76" i="6"/>
  <c r="J76" i="6"/>
  <c r="I76" i="6"/>
  <c r="H76" i="6"/>
  <c r="G76" i="6"/>
  <c r="F76" i="6"/>
  <c r="E76" i="6"/>
  <c r="D76" i="6"/>
  <c r="C76" i="6"/>
  <c r="C119" i="6"/>
  <c r="D119" i="6"/>
  <c r="E119" i="6"/>
  <c r="F119" i="6"/>
  <c r="G119" i="6"/>
  <c r="H119" i="6"/>
  <c r="I119" i="6"/>
  <c r="J119" i="6"/>
  <c r="K119" i="6"/>
  <c r="C113" i="6"/>
  <c r="D113" i="6"/>
  <c r="E113" i="6"/>
  <c r="F113" i="6"/>
  <c r="G113" i="6"/>
  <c r="H113" i="6"/>
  <c r="I113" i="6"/>
  <c r="J113" i="6"/>
  <c r="K113" i="6"/>
  <c r="C115" i="6"/>
  <c r="D115" i="6"/>
  <c r="E115" i="6"/>
  <c r="F115" i="6"/>
  <c r="G115" i="6"/>
  <c r="H115" i="6"/>
  <c r="I115" i="6"/>
  <c r="J115" i="6"/>
  <c r="K115" i="6"/>
  <c r="C116" i="6"/>
  <c r="D116" i="6"/>
  <c r="E116" i="6"/>
  <c r="F116" i="6"/>
  <c r="G116" i="6"/>
  <c r="H116" i="6"/>
  <c r="I116" i="6"/>
  <c r="J116" i="6"/>
  <c r="K116" i="6"/>
  <c r="C117" i="6"/>
  <c r="D117" i="6"/>
  <c r="E117" i="6"/>
  <c r="F117" i="6"/>
  <c r="G117" i="6"/>
  <c r="H117" i="6"/>
  <c r="I117" i="6"/>
  <c r="J117" i="6"/>
  <c r="K117" i="6"/>
  <c r="C118" i="6"/>
  <c r="D118" i="6"/>
  <c r="E118" i="6"/>
  <c r="F118" i="6"/>
  <c r="G118" i="6"/>
  <c r="H118" i="6"/>
  <c r="I118" i="6"/>
  <c r="J118" i="6"/>
  <c r="K118" i="6"/>
  <c r="K114" i="6"/>
  <c r="C114" i="6"/>
  <c r="D114" i="6"/>
  <c r="E114" i="6"/>
  <c r="F114" i="6"/>
  <c r="G114" i="6"/>
  <c r="H114" i="6"/>
  <c r="I114" i="6"/>
  <c r="C108" i="6"/>
  <c r="D108" i="6"/>
  <c r="E108" i="6"/>
  <c r="F108" i="6"/>
  <c r="G108" i="6"/>
  <c r="H108" i="6"/>
  <c r="I108" i="6"/>
  <c r="C109" i="6"/>
  <c r="D109" i="6"/>
  <c r="E109" i="6"/>
  <c r="F109" i="6"/>
  <c r="G109" i="6"/>
  <c r="H109" i="6"/>
  <c r="I109" i="6"/>
  <c r="C110" i="6"/>
  <c r="D110" i="6"/>
  <c r="E110" i="6"/>
  <c r="F110" i="6"/>
  <c r="G110" i="6"/>
  <c r="H110" i="6"/>
  <c r="I110" i="6"/>
  <c r="C111" i="6"/>
  <c r="D111" i="6"/>
  <c r="E111" i="6"/>
  <c r="F111" i="6"/>
  <c r="G111" i="6"/>
  <c r="H111" i="6"/>
  <c r="I111" i="6"/>
  <c r="C112" i="6"/>
  <c r="D112" i="6"/>
  <c r="E112" i="6"/>
  <c r="F112" i="6"/>
  <c r="G112" i="6"/>
  <c r="H112" i="6"/>
  <c r="I112" i="6"/>
  <c r="K108" i="6"/>
  <c r="K109" i="6"/>
  <c r="K110" i="6"/>
  <c r="K111" i="6"/>
  <c r="K112" i="6"/>
  <c r="J109" i="6"/>
  <c r="J110" i="6"/>
  <c r="J111" i="6"/>
  <c r="J112" i="6"/>
  <c r="J114" i="6"/>
  <c r="J108" i="6"/>
  <c r="K104" i="6" l="1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77" i="6"/>
  <c r="K78" i="6"/>
  <c r="K79" i="6"/>
  <c r="K80" i="6"/>
  <c r="K81" i="6"/>
  <c r="C77" i="6"/>
  <c r="D77" i="6"/>
  <c r="E77" i="6"/>
  <c r="F77" i="6"/>
  <c r="G77" i="6"/>
  <c r="H77" i="6"/>
  <c r="I77" i="6"/>
  <c r="C78" i="6"/>
  <c r="D78" i="6"/>
  <c r="E78" i="6"/>
  <c r="F78" i="6"/>
  <c r="G78" i="6"/>
  <c r="H78" i="6"/>
  <c r="I78" i="6"/>
  <c r="C79" i="6"/>
  <c r="D79" i="6"/>
  <c r="E79" i="6"/>
  <c r="F79" i="6"/>
  <c r="G79" i="6"/>
  <c r="H79" i="6"/>
  <c r="I79" i="6"/>
  <c r="C80" i="6"/>
  <c r="D80" i="6"/>
  <c r="E80" i="6"/>
  <c r="F80" i="6"/>
  <c r="G80" i="6"/>
  <c r="H80" i="6"/>
  <c r="I80" i="6"/>
  <c r="C81" i="6"/>
  <c r="D81" i="6"/>
  <c r="E81" i="6"/>
  <c r="F81" i="6"/>
  <c r="G81" i="6"/>
  <c r="H81" i="6"/>
  <c r="I81" i="6"/>
  <c r="J78" i="6"/>
  <c r="J79" i="6"/>
  <c r="J80" i="6"/>
  <c r="J81" i="6"/>
  <c r="J77" i="6"/>
  <c r="K71" i="6"/>
  <c r="K72" i="6"/>
  <c r="K73" i="6"/>
  <c r="K74" i="6"/>
  <c r="K75" i="6"/>
  <c r="C71" i="6"/>
  <c r="D71" i="6"/>
  <c r="E71" i="6"/>
  <c r="F71" i="6"/>
  <c r="G71" i="6"/>
  <c r="H71" i="6"/>
  <c r="I71" i="6"/>
  <c r="C72" i="6"/>
  <c r="D72" i="6"/>
  <c r="E72" i="6"/>
  <c r="F72" i="6"/>
  <c r="G72" i="6"/>
  <c r="H72" i="6"/>
  <c r="I72" i="6"/>
  <c r="C73" i="6"/>
  <c r="D73" i="6"/>
  <c r="E73" i="6"/>
  <c r="F73" i="6"/>
  <c r="G73" i="6"/>
  <c r="H73" i="6"/>
  <c r="I73" i="6"/>
  <c r="C74" i="6"/>
  <c r="D74" i="6"/>
  <c r="E74" i="6"/>
  <c r="F74" i="6"/>
  <c r="G74" i="6"/>
  <c r="H74" i="6"/>
  <c r="I74" i="6"/>
  <c r="C75" i="6"/>
  <c r="D75" i="6"/>
  <c r="E75" i="6"/>
  <c r="F75" i="6"/>
  <c r="G75" i="6"/>
  <c r="H75" i="6"/>
  <c r="I75" i="6"/>
  <c r="J72" i="6"/>
  <c r="J73" i="6"/>
  <c r="J74" i="6"/>
  <c r="J75" i="6"/>
  <c r="J71" i="6"/>
  <c r="K44" i="6"/>
  <c r="K45" i="6" s="1"/>
  <c r="K43" i="6"/>
  <c r="K42" i="6"/>
  <c r="K41" i="6"/>
  <c r="K39" i="6"/>
  <c r="K40" i="6" s="1"/>
  <c r="K37" i="6"/>
  <c r="K35" i="6"/>
  <c r="K36" i="6" s="1"/>
  <c r="K34" i="6"/>
  <c r="K38" i="6" s="1"/>
  <c r="K29" i="6"/>
  <c r="K25" i="6"/>
  <c r="K24" i="6"/>
  <c r="K22" i="6"/>
  <c r="K20" i="6"/>
  <c r="K17" i="8" l="1"/>
  <c r="K18" i="8"/>
  <c r="K20" i="8"/>
  <c r="K22" i="8"/>
  <c r="K24" i="8"/>
  <c r="K25" i="8"/>
  <c r="K26" i="8"/>
  <c r="K27" i="8"/>
  <c r="BA106" i="1"/>
  <c r="BA26" i="1"/>
  <c r="BA112" i="1"/>
  <c r="BA91" i="1"/>
  <c r="BA10" i="1"/>
  <c r="K28" i="8" l="1"/>
  <c r="K21" i="8"/>
  <c r="K19" i="8"/>
  <c r="K23" i="8"/>
  <c r="BA25" i="1"/>
  <c r="BA31" i="1"/>
  <c r="BA45" i="1"/>
  <c r="BA56" i="1"/>
  <c r="J134" i="8"/>
  <c r="I134" i="8"/>
  <c r="H134" i="8"/>
  <c r="G134" i="8"/>
  <c r="F134" i="8"/>
  <c r="E134" i="8"/>
  <c r="D134" i="8"/>
  <c r="C134" i="8"/>
  <c r="J133" i="8"/>
  <c r="I133" i="8"/>
  <c r="H133" i="8"/>
  <c r="G133" i="8"/>
  <c r="F133" i="8"/>
  <c r="E133" i="8"/>
  <c r="D133" i="8"/>
  <c r="C133" i="8"/>
  <c r="J132" i="8"/>
  <c r="I132" i="8"/>
  <c r="H132" i="8"/>
  <c r="G132" i="8"/>
  <c r="F132" i="8"/>
  <c r="E132" i="8"/>
  <c r="D132" i="8"/>
  <c r="C132" i="8"/>
  <c r="J131" i="8"/>
  <c r="I131" i="8"/>
  <c r="H131" i="8"/>
  <c r="G131" i="8"/>
  <c r="F131" i="8"/>
  <c r="E131" i="8"/>
  <c r="D131" i="8"/>
  <c r="C131" i="8"/>
  <c r="J130" i="8"/>
  <c r="I130" i="8"/>
  <c r="H130" i="8"/>
  <c r="G130" i="8"/>
  <c r="F130" i="8"/>
  <c r="E130" i="8"/>
  <c r="D130" i="8"/>
  <c r="C130" i="8"/>
  <c r="J129" i="8"/>
  <c r="I129" i="8"/>
  <c r="H129" i="8"/>
  <c r="G129" i="8"/>
  <c r="F129" i="8"/>
  <c r="E129" i="8"/>
  <c r="D129" i="8"/>
  <c r="C129" i="8"/>
  <c r="J128" i="8"/>
  <c r="I128" i="8"/>
  <c r="H128" i="8"/>
  <c r="G128" i="8"/>
  <c r="F128" i="8"/>
  <c r="E128" i="8"/>
  <c r="D128" i="8"/>
  <c r="C128" i="8"/>
  <c r="C124" i="8"/>
  <c r="D124" i="8"/>
  <c r="E124" i="8"/>
  <c r="F124" i="8"/>
  <c r="G124" i="8"/>
  <c r="H124" i="8"/>
  <c r="I124" i="8"/>
  <c r="J124" i="8"/>
  <c r="C125" i="8"/>
  <c r="D125" i="8"/>
  <c r="E125" i="8"/>
  <c r="F125" i="8"/>
  <c r="G125" i="8"/>
  <c r="H125" i="8"/>
  <c r="I125" i="8"/>
  <c r="J125" i="8"/>
  <c r="C126" i="8"/>
  <c r="D126" i="8"/>
  <c r="E126" i="8"/>
  <c r="F126" i="8"/>
  <c r="G126" i="8"/>
  <c r="H126" i="8"/>
  <c r="I126" i="8"/>
  <c r="J126" i="8"/>
  <c r="C127" i="8"/>
  <c r="D127" i="8"/>
  <c r="E127" i="8"/>
  <c r="F127" i="8"/>
  <c r="G127" i="8"/>
  <c r="H127" i="8"/>
  <c r="I127" i="8"/>
  <c r="J127" i="8"/>
  <c r="D123" i="8"/>
  <c r="E123" i="8"/>
  <c r="F123" i="8"/>
  <c r="G123" i="8"/>
  <c r="H123" i="8"/>
  <c r="I123" i="8"/>
  <c r="J123" i="8"/>
  <c r="C123" i="8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Z107" i="1"/>
  <c r="AZ85" i="1" l="1"/>
  <c r="AY85" i="1"/>
  <c r="AX85" i="1"/>
  <c r="AZ84" i="1"/>
  <c r="AY84" i="1"/>
  <c r="AX84" i="1"/>
  <c r="AZ82" i="1"/>
  <c r="AY82" i="1"/>
  <c r="AX82" i="1"/>
  <c r="AZ81" i="1"/>
  <c r="AY81" i="1"/>
  <c r="AX81" i="1"/>
  <c r="AZ80" i="1"/>
  <c r="AY80" i="1"/>
  <c r="AX80" i="1"/>
  <c r="AZ79" i="1"/>
  <c r="AY79" i="1"/>
  <c r="AX79" i="1"/>
  <c r="AZ78" i="1"/>
  <c r="AY78" i="1"/>
  <c r="AX78" i="1"/>
  <c r="AZ77" i="1"/>
  <c r="AY77" i="1"/>
  <c r="AX77" i="1"/>
  <c r="AZ76" i="1"/>
  <c r="AY76" i="1"/>
  <c r="AX76" i="1"/>
  <c r="AZ75" i="1"/>
  <c r="AY75" i="1"/>
  <c r="AX75" i="1"/>
  <c r="AZ74" i="1"/>
  <c r="AY74" i="1"/>
  <c r="AX74" i="1"/>
  <c r="AZ73" i="1"/>
  <c r="AY73" i="1"/>
  <c r="AX73" i="1"/>
  <c r="AT84" i="1"/>
  <c r="AU84" i="1"/>
  <c r="AV84" i="1"/>
  <c r="AT85" i="1"/>
  <c r="AU85" i="1"/>
  <c r="AV85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T79" i="1"/>
  <c r="AU79" i="1"/>
  <c r="AV79" i="1"/>
  <c r="AT80" i="1"/>
  <c r="AU80" i="1"/>
  <c r="AV80" i="1"/>
  <c r="AT81" i="1"/>
  <c r="AU81" i="1"/>
  <c r="AV81" i="1"/>
  <c r="AT82" i="1"/>
  <c r="AU82" i="1"/>
  <c r="AV82" i="1"/>
  <c r="AU73" i="1"/>
  <c r="AV73" i="1"/>
  <c r="AT73" i="1"/>
  <c r="AZ137" i="1"/>
  <c r="AZ126" i="1" l="1"/>
  <c r="AZ112" i="1"/>
  <c r="AZ106" i="1"/>
  <c r="AZ68" i="1"/>
  <c r="AZ69" i="1"/>
  <c r="AZ70" i="1"/>
  <c r="AV68" i="1"/>
  <c r="AV69" i="1"/>
  <c r="AV70" i="1"/>
  <c r="AY68" i="1"/>
  <c r="AZ56" i="1"/>
  <c r="AZ45" i="1"/>
  <c r="AZ26" i="1"/>
  <c r="AZ31" i="1"/>
  <c r="AZ25" i="1"/>
  <c r="AZ91" i="1"/>
  <c r="AZ10" i="1"/>
  <c r="J144" i="8" l="1"/>
  <c r="J143" i="8"/>
  <c r="J142" i="8"/>
  <c r="J141" i="8"/>
  <c r="J140" i="8"/>
  <c r="J139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J174" i="6" l="1"/>
  <c r="J171" i="6"/>
  <c r="J215" i="6"/>
  <c r="J214" i="6"/>
  <c r="J213" i="6"/>
  <c r="F24" i="8" l="1"/>
  <c r="E24" i="8"/>
  <c r="D24" i="8"/>
  <c r="C24" i="8"/>
  <c r="C26" i="8"/>
  <c r="D26" i="8"/>
  <c r="E26" i="8"/>
  <c r="F26" i="8"/>
  <c r="G26" i="8"/>
  <c r="I26" i="8"/>
  <c r="J26" i="8"/>
  <c r="J27" i="8"/>
  <c r="I27" i="8"/>
  <c r="H27" i="8"/>
  <c r="G27" i="8"/>
  <c r="F27" i="8"/>
  <c r="E27" i="8"/>
  <c r="D27" i="8"/>
  <c r="C27" i="8"/>
  <c r="J25" i="8"/>
  <c r="I25" i="8"/>
  <c r="H25" i="8"/>
  <c r="G25" i="8"/>
  <c r="F25" i="8"/>
  <c r="E25" i="8"/>
  <c r="D25" i="8"/>
  <c r="C25" i="8"/>
  <c r="J22" i="8"/>
  <c r="I22" i="8"/>
  <c r="H22" i="8"/>
  <c r="G22" i="8"/>
  <c r="F22" i="8"/>
  <c r="E22" i="8"/>
  <c r="D22" i="8"/>
  <c r="C22" i="8"/>
  <c r="J20" i="8"/>
  <c r="I20" i="8"/>
  <c r="H20" i="8"/>
  <c r="G20" i="8"/>
  <c r="F20" i="8"/>
  <c r="E20" i="8"/>
  <c r="D20" i="8"/>
  <c r="C20" i="8"/>
  <c r="C18" i="8"/>
  <c r="D18" i="8"/>
  <c r="E18" i="8"/>
  <c r="F18" i="8"/>
  <c r="G18" i="8"/>
  <c r="H18" i="8"/>
  <c r="I18" i="8"/>
  <c r="J18" i="8"/>
  <c r="D17" i="8"/>
  <c r="E17" i="8"/>
  <c r="F17" i="8"/>
  <c r="G17" i="8"/>
  <c r="H17" i="8"/>
  <c r="I17" i="8"/>
  <c r="J17" i="8"/>
  <c r="C17" i="8"/>
  <c r="J216" i="6"/>
  <c r="J217" i="6"/>
  <c r="J19" i="8" l="1"/>
  <c r="F19" i="8"/>
  <c r="J42" i="8"/>
  <c r="J33" i="8"/>
  <c r="I19" i="8"/>
  <c r="E19" i="8"/>
  <c r="H21" i="8"/>
  <c r="D19" i="8"/>
  <c r="G28" i="8"/>
  <c r="G23" i="8"/>
  <c r="C28" i="8"/>
  <c r="G19" i="8"/>
  <c r="C19" i="8"/>
  <c r="G21" i="8"/>
  <c r="D23" i="8"/>
  <c r="C21" i="8"/>
  <c r="C23" i="8"/>
  <c r="H23" i="8"/>
  <c r="D28" i="8"/>
  <c r="H28" i="8"/>
  <c r="E21" i="8"/>
  <c r="I21" i="8"/>
  <c r="E23" i="8"/>
  <c r="I23" i="8"/>
  <c r="E28" i="8"/>
  <c r="I28" i="8"/>
  <c r="F21" i="8"/>
  <c r="J36" i="8"/>
  <c r="J37" i="8" s="1"/>
  <c r="F23" i="8"/>
  <c r="J23" i="8"/>
  <c r="J41" i="8"/>
  <c r="F28" i="8"/>
  <c r="J43" i="8"/>
  <c r="H19" i="8"/>
  <c r="D21" i="8"/>
  <c r="J28" i="8"/>
  <c r="J34" i="8"/>
  <c r="J21" i="8"/>
  <c r="J38" i="8"/>
  <c r="J212" i="6"/>
  <c r="J211" i="6"/>
  <c r="J210" i="6"/>
  <c r="J209" i="6"/>
  <c r="J34" i="6"/>
  <c r="J40" i="6" s="1"/>
  <c r="J35" i="6"/>
  <c r="J37" i="6"/>
  <c r="J39" i="6"/>
  <c r="J42" i="6"/>
  <c r="J43" i="6"/>
  <c r="J44" i="6"/>
  <c r="J25" i="6"/>
  <c r="J24" i="8" s="1"/>
  <c r="J24" i="6"/>
  <c r="J22" i="6"/>
  <c r="J20" i="6"/>
  <c r="F103" i="6"/>
  <c r="F102" i="6"/>
  <c r="F101" i="6"/>
  <c r="F100" i="6"/>
  <c r="F99" i="6"/>
  <c r="F97" i="6"/>
  <c r="F96" i="6"/>
  <c r="F95" i="6"/>
  <c r="F94" i="6"/>
  <c r="F93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F87" i="6"/>
  <c r="F88" i="6"/>
  <c r="F89" i="6"/>
  <c r="F90" i="6"/>
  <c r="F91" i="6"/>
  <c r="J65" i="8"/>
  <c r="I65" i="8"/>
  <c r="H65" i="8"/>
  <c r="G65" i="8"/>
  <c r="F65" i="8"/>
  <c r="E65" i="8"/>
  <c r="D65" i="8"/>
  <c r="C65" i="8"/>
  <c r="J64" i="8"/>
  <c r="I64" i="8"/>
  <c r="H64" i="8"/>
  <c r="G64" i="8"/>
  <c r="F64" i="8"/>
  <c r="E64" i="8"/>
  <c r="D64" i="8"/>
  <c r="C64" i="8"/>
  <c r="J63" i="8"/>
  <c r="I63" i="8"/>
  <c r="H63" i="8"/>
  <c r="G63" i="8"/>
  <c r="F63" i="8"/>
  <c r="E63" i="8"/>
  <c r="D63" i="8"/>
  <c r="C63" i="8"/>
  <c r="J62" i="8"/>
  <c r="I62" i="8"/>
  <c r="H62" i="8"/>
  <c r="G62" i="8"/>
  <c r="F62" i="8"/>
  <c r="E62" i="8"/>
  <c r="D62" i="8"/>
  <c r="C62" i="8"/>
  <c r="J61" i="8"/>
  <c r="I61" i="8"/>
  <c r="H61" i="8"/>
  <c r="G61" i="8"/>
  <c r="F61" i="8"/>
  <c r="E61" i="8"/>
  <c r="D61" i="8"/>
  <c r="C61" i="8"/>
  <c r="J59" i="8"/>
  <c r="I59" i="8"/>
  <c r="H59" i="8"/>
  <c r="G59" i="8"/>
  <c r="F59" i="8"/>
  <c r="E59" i="8"/>
  <c r="D59" i="8"/>
  <c r="C59" i="8"/>
  <c r="J58" i="8"/>
  <c r="I58" i="8"/>
  <c r="H58" i="8"/>
  <c r="G58" i="8"/>
  <c r="F58" i="8"/>
  <c r="E58" i="8"/>
  <c r="D58" i="8"/>
  <c r="C58" i="8"/>
  <c r="J57" i="8"/>
  <c r="I57" i="8"/>
  <c r="H57" i="8"/>
  <c r="G57" i="8"/>
  <c r="F57" i="8"/>
  <c r="E57" i="8"/>
  <c r="D57" i="8"/>
  <c r="C57" i="8"/>
  <c r="J56" i="8"/>
  <c r="I56" i="8"/>
  <c r="H56" i="8"/>
  <c r="G56" i="8"/>
  <c r="F56" i="8"/>
  <c r="E56" i="8"/>
  <c r="D56" i="8"/>
  <c r="C56" i="8"/>
  <c r="J55" i="8"/>
  <c r="I55" i="8"/>
  <c r="H55" i="8"/>
  <c r="G55" i="8"/>
  <c r="F55" i="8"/>
  <c r="E55" i="8"/>
  <c r="D55" i="8"/>
  <c r="C55" i="8"/>
  <c r="C50" i="8"/>
  <c r="D50" i="8"/>
  <c r="E50" i="8"/>
  <c r="F50" i="8"/>
  <c r="G50" i="8"/>
  <c r="H50" i="8"/>
  <c r="I50" i="8"/>
  <c r="J50" i="8"/>
  <c r="C51" i="8"/>
  <c r="D51" i="8"/>
  <c r="E51" i="8"/>
  <c r="F51" i="8"/>
  <c r="G51" i="8"/>
  <c r="H51" i="8"/>
  <c r="I51" i="8"/>
  <c r="J51" i="8"/>
  <c r="C52" i="8"/>
  <c r="D52" i="8"/>
  <c r="E52" i="8"/>
  <c r="F52" i="8"/>
  <c r="G52" i="8"/>
  <c r="H52" i="8"/>
  <c r="I52" i="8"/>
  <c r="J52" i="8"/>
  <c r="C53" i="8"/>
  <c r="D53" i="8"/>
  <c r="E53" i="8"/>
  <c r="F53" i="8"/>
  <c r="G53" i="8"/>
  <c r="H53" i="8"/>
  <c r="I53" i="8"/>
  <c r="J53" i="8"/>
  <c r="E49" i="8"/>
  <c r="F49" i="8"/>
  <c r="G49" i="8"/>
  <c r="H49" i="8"/>
  <c r="I49" i="8"/>
  <c r="J49" i="8"/>
  <c r="D49" i="8"/>
  <c r="C49" i="8"/>
  <c r="G25" i="6"/>
  <c r="G24" i="8" s="1"/>
  <c r="H25" i="6"/>
  <c r="H24" i="8" s="1"/>
  <c r="I25" i="6"/>
  <c r="I24" i="8" s="1"/>
  <c r="H27" i="6"/>
  <c r="H26" i="8" s="1"/>
  <c r="C131" i="6"/>
  <c r="D131" i="6"/>
  <c r="E131" i="6"/>
  <c r="F131" i="6"/>
  <c r="G131" i="6"/>
  <c r="H131" i="6"/>
  <c r="I131" i="6"/>
  <c r="C171" i="6"/>
  <c r="D171" i="6"/>
  <c r="E171" i="6"/>
  <c r="F171" i="6"/>
  <c r="G171" i="6"/>
  <c r="H171" i="6"/>
  <c r="I171" i="6"/>
  <c r="C174" i="6"/>
  <c r="D174" i="6"/>
  <c r="E174" i="6"/>
  <c r="F174" i="6"/>
  <c r="G174" i="6"/>
  <c r="H174" i="6"/>
  <c r="I174" i="6"/>
  <c r="C60" i="8" l="1"/>
  <c r="C66" i="8"/>
  <c r="C103" i="8" s="1"/>
  <c r="G66" i="8"/>
  <c r="H60" i="8"/>
  <c r="D66" i="8"/>
  <c r="H66" i="8"/>
  <c r="E60" i="8"/>
  <c r="I60" i="8"/>
  <c r="I66" i="8"/>
  <c r="J40" i="8"/>
  <c r="F86" i="8"/>
  <c r="J35" i="8"/>
  <c r="J44" i="8"/>
  <c r="D60" i="8"/>
  <c r="J39" i="8"/>
  <c r="E66" i="8"/>
  <c r="J41" i="6"/>
  <c r="G60" i="8"/>
  <c r="J45" i="6"/>
  <c r="J90" i="8"/>
  <c r="F90" i="8"/>
  <c r="J89" i="8"/>
  <c r="F89" i="8"/>
  <c r="J88" i="8"/>
  <c r="F88" i="8"/>
  <c r="J36" i="6"/>
  <c r="I54" i="8"/>
  <c r="J38" i="6"/>
  <c r="J86" i="8"/>
  <c r="E54" i="8"/>
  <c r="F93" i="8"/>
  <c r="J93" i="8"/>
  <c r="F94" i="8"/>
  <c r="J94" i="8"/>
  <c r="F95" i="8"/>
  <c r="J95" i="8"/>
  <c r="F96" i="8"/>
  <c r="J96" i="8"/>
  <c r="F98" i="8"/>
  <c r="J98" i="8"/>
  <c r="F99" i="8"/>
  <c r="J99" i="8"/>
  <c r="F100" i="8"/>
  <c r="J100" i="8"/>
  <c r="F101" i="8"/>
  <c r="J101" i="8"/>
  <c r="F102" i="8"/>
  <c r="J102" i="8"/>
  <c r="C54" i="8"/>
  <c r="C91" i="8" s="1"/>
  <c r="H54" i="8"/>
  <c r="J87" i="8"/>
  <c r="F87" i="8"/>
  <c r="D54" i="8"/>
  <c r="D91" i="8" s="1"/>
  <c r="G54" i="8"/>
  <c r="G91" i="8" s="1"/>
  <c r="F60" i="8"/>
  <c r="F92" i="8"/>
  <c r="J60" i="8"/>
  <c r="J92" i="8"/>
  <c r="F66" i="8"/>
  <c r="J66" i="8"/>
  <c r="F54" i="8"/>
  <c r="J54" i="8"/>
  <c r="I102" i="8"/>
  <c r="H102" i="8"/>
  <c r="G102" i="8"/>
  <c r="E102" i="8"/>
  <c r="D102" i="8"/>
  <c r="C102" i="8"/>
  <c r="I101" i="8"/>
  <c r="H101" i="8"/>
  <c r="G101" i="8"/>
  <c r="E101" i="8"/>
  <c r="D101" i="8"/>
  <c r="C101" i="8"/>
  <c r="I100" i="8"/>
  <c r="H100" i="8"/>
  <c r="G100" i="8"/>
  <c r="E100" i="8"/>
  <c r="D100" i="8"/>
  <c r="C100" i="8"/>
  <c r="I99" i="8"/>
  <c r="H99" i="8"/>
  <c r="G99" i="8"/>
  <c r="E99" i="8"/>
  <c r="D99" i="8"/>
  <c r="C99" i="8"/>
  <c r="I98" i="8"/>
  <c r="H98" i="8"/>
  <c r="G98" i="8"/>
  <c r="E98" i="8"/>
  <c r="D98" i="8"/>
  <c r="C98" i="8"/>
  <c r="I96" i="8"/>
  <c r="H96" i="8"/>
  <c r="G96" i="8"/>
  <c r="E96" i="8"/>
  <c r="D96" i="8"/>
  <c r="C96" i="8"/>
  <c r="I95" i="8"/>
  <c r="H95" i="8"/>
  <c r="G95" i="8"/>
  <c r="E95" i="8"/>
  <c r="D95" i="8"/>
  <c r="C95" i="8"/>
  <c r="I94" i="8"/>
  <c r="H94" i="8"/>
  <c r="G94" i="8"/>
  <c r="E94" i="8"/>
  <c r="D94" i="8"/>
  <c r="C94" i="8"/>
  <c r="I93" i="8"/>
  <c r="H93" i="8"/>
  <c r="G93" i="8"/>
  <c r="E93" i="8"/>
  <c r="D93" i="8"/>
  <c r="C93" i="8"/>
  <c r="I92" i="8"/>
  <c r="H92" i="8"/>
  <c r="G92" i="8"/>
  <c r="E92" i="8"/>
  <c r="D92" i="8"/>
  <c r="C92" i="8"/>
  <c r="I90" i="8"/>
  <c r="H90" i="8"/>
  <c r="G90" i="8"/>
  <c r="E90" i="8"/>
  <c r="D90" i="8"/>
  <c r="C90" i="8"/>
  <c r="I89" i="8"/>
  <c r="H89" i="8"/>
  <c r="G89" i="8"/>
  <c r="E89" i="8"/>
  <c r="D89" i="8"/>
  <c r="C89" i="8"/>
  <c r="I88" i="8"/>
  <c r="H88" i="8"/>
  <c r="G88" i="8"/>
  <c r="E88" i="8"/>
  <c r="D88" i="8"/>
  <c r="C88" i="8"/>
  <c r="I87" i="8"/>
  <c r="H87" i="8"/>
  <c r="G87" i="8"/>
  <c r="E87" i="8"/>
  <c r="D87" i="8"/>
  <c r="C87" i="8"/>
  <c r="I86" i="8"/>
  <c r="H86" i="8"/>
  <c r="G86" i="8"/>
  <c r="E86" i="8"/>
  <c r="D86" i="8"/>
  <c r="C86" i="8"/>
  <c r="I43" i="8"/>
  <c r="H43" i="8"/>
  <c r="G43" i="8"/>
  <c r="F43" i="8"/>
  <c r="E43" i="8"/>
  <c r="D43" i="8"/>
  <c r="C43" i="8"/>
  <c r="H42" i="8"/>
  <c r="G42" i="8"/>
  <c r="F42" i="8"/>
  <c r="E42" i="8"/>
  <c r="D42" i="8"/>
  <c r="C42" i="8"/>
  <c r="I41" i="8"/>
  <c r="H41" i="8"/>
  <c r="G41" i="8"/>
  <c r="F41" i="8"/>
  <c r="E41" i="8"/>
  <c r="D41" i="8"/>
  <c r="C41" i="8"/>
  <c r="F40" i="8"/>
  <c r="E40" i="8"/>
  <c r="D40" i="8"/>
  <c r="C40" i="8"/>
  <c r="I38" i="8"/>
  <c r="H38" i="8"/>
  <c r="G38" i="8"/>
  <c r="F38" i="8"/>
  <c r="E38" i="8"/>
  <c r="D38" i="8"/>
  <c r="C38" i="8"/>
  <c r="I36" i="8"/>
  <c r="H36" i="8"/>
  <c r="G36" i="8"/>
  <c r="F36" i="8"/>
  <c r="E36" i="8"/>
  <c r="D36" i="8"/>
  <c r="C36" i="8"/>
  <c r="I34" i="8"/>
  <c r="H34" i="8"/>
  <c r="G34" i="8"/>
  <c r="F34" i="8"/>
  <c r="E34" i="8"/>
  <c r="D34" i="8"/>
  <c r="C34" i="8"/>
  <c r="I33" i="8"/>
  <c r="H33" i="8"/>
  <c r="G33" i="8"/>
  <c r="F33" i="8"/>
  <c r="E33" i="8"/>
  <c r="D33" i="8"/>
  <c r="C33" i="8"/>
  <c r="I42" i="8"/>
  <c r="I40" i="8"/>
  <c r="H40" i="8"/>
  <c r="G40" i="8"/>
  <c r="J29" i="6"/>
  <c r="E103" i="8" l="1"/>
  <c r="D103" i="8"/>
  <c r="I103" i="8"/>
  <c r="I97" i="8"/>
  <c r="E97" i="8"/>
  <c r="D97" i="8"/>
  <c r="H103" i="8"/>
  <c r="G103" i="8"/>
  <c r="C97" i="8"/>
  <c r="J103" i="8"/>
  <c r="F97" i="8"/>
  <c r="H97" i="8"/>
  <c r="J97" i="8"/>
  <c r="F103" i="8"/>
  <c r="G97" i="8"/>
  <c r="E91" i="8"/>
  <c r="C37" i="8"/>
  <c r="G37" i="8"/>
  <c r="J91" i="8"/>
  <c r="I91" i="8"/>
  <c r="F91" i="8"/>
  <c r="H91" i="8"/>
  <c r="F44" i="8"/>
  <c r="F39" i="8"/>
  <c r="E39" i="8"/>
  <c r="I39" i="8"/>
  <c r="F35" i="8"/>
  <c r="C35" i="8"/>
  <c r="G35" i="8"/>
  <c r="I35" i="8"/>
  <c r="D44" i="8"/>
  <c r="H44" i="8"/>
  <c r="E37" i="8"/>
  <c r="F37" i="8"/>
  <c r="C39" i="8"/>
  <c r="G39" i="8"/>
  <c r="E44" i="8"/>
  <c r="I44" i="8"/>
  <c r="I37" i="8"/>
  <c r="D35" i="8"/>
  <c r="H35" i="8"/>
  <c r="D39" i="8"/>
  <c r="H39" i="8"/>
  <c r="E35" i="8"/>
  <c r="D37" i="8"/>
  <c r="H37" i="8"/>
  <c r="C44" i="8"/>
  <c r="G44" i="8"/>
  <c r="I209" i="6"/>
  <c r="I216" i="6"/>
  <c r="I217" i="6"/>
  <c r="AV135" i="1"/>
  <c r="AY31" i="1" l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Y112" i="1"/>
  <c r="I214" i="6" l="1"/>
  <c r="I213" i="6"/>
  <c r="I215" i="6"/>
  <c r="I29" i="6" l="1"/>
  <c r="I24" i="6"/>
  <c r="I22" i="6"/>
  <c r="I20" i="6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W145" i="1"/>
  <c r="AX145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V142" i="1"/>
  <c r="AW142" i="1"/>
  <c r="AX142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O135" i="1"/>
  <c r="AP135" i="1"/>
  <c r="AQ135" i="1"/>
  <c r="AR135" i="1"/>
  <c r="AS135" i="1"/>
  <c r="AT135" i="1"/>
  <c r="AW135" i="1"/>
  <c r="AX135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AX133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X130" i="1"/>
  <c r="AX126" i="1" s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Y56" i="1"/>
  <c r="AY126" i="1"/>
  <c r="AS124" i="1"/>
  <c r="AT124" i="1"/>
  <c r="AW124" i="1"/>
  <c r="AX124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AT121" i="1"/>
  <c r="AV121" i="1"/>
  <c r="AW121" i="1"/>
  <c r="AX121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R118" i="1"/>
  <c r="AS118" i="1"/>
  <c r="AT118" i="1"/>
  <c r="AV118" i="1"/>
  <c r="AW118" i="1"/>
  <c r="AX118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V64" i="1"/>
  <c r="AW64" i="1"/>
  <c r="AX64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V61" i="1"/>
  <c r="AW61" i="1"/>
  <c r="AX61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W49" i="1"/>
  <c r="AV49" i="1"/>
  <c r="AU49" i="1"/>
  <c r="AU45" i="1" s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H45" i="1" s="1"/>
  <c r="G49" i="1"/>
  <c r="F49" i="1"/>
  <c r="E49" i="1"/>
  <c r="D49" i="1"/>
  <c r="C49" i="1"/>
  <c r="AY45" i="1"/>
  <c r="AX54" i="1"/>
  <c r="AX52" i="1"/>
  <c r="AX49" i="1"/>
  <c r="AS43" i="1"/>
  <c r="AT43" i="1"/>
  <c r="AW43" i="1"/>
  <c r="AX43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N37" i="1"/>
  <c r="AO37" i="1"/>
  <c r="AP37" i="1"/>
  <c r="AQ37" i="1"/>
  <c r="AR37" i="1"/>
  <c r="AS37" i="1"/>
  <c r="AT37" i="1"/>
  <c r="AV37" i="1"/>
  <c r="AW37" i="1"/>
  <c r="AX37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40" i="1"/>
  <c r="AQ40" i="1"/>
  <c r="AR40" i="1"/>
  <c r="AS40" i="1"/>
  <c r="AT40" i="1"/>
  <c r="AV40" i="1"/>
  <c r="AW40" i="1"/>
  <c r="AX40" i="1"/>
  <c r="AY106" i="1"/>
  <c r="AY26" i="1"/>
  <c r="AY91" i="1"/>
  <c r="AY70" i="1"/>
  <c r="AY69" i="1"/>
  <c r="AU70" i="1"/>
  <c r="AU69" i="1"/>
  <c r="AU68" i="1"/>
  <c r="AY25" i="1"/>
  <c r="AY10" i="1"/>
  <c r="O45" i="1" l="1"/>
  <c r="P45" i="1"/>
  <c r="AF45" i="1"/>
  <c r="Y45" i="1"/>
  <c r="AO45" i="1"/>
  <c r="AX45" i="1"/>
  <c r="C45" i="1"/>
  <c r="S45" i="1"/>
  <c r="W45" i="1"/>
  <c r="AA45" i="1"/>
  <c r="AE45" i="1"/>
  <c r="AI45" i="1"/>
  <c r="AM45" i="1"/>
  <c r="AQ45" i="1"/>
  <c r="D45" i="1"/>
  <c r="X45" i="1"/>
  <c r="AC45" i="1"/>
  <c r="L45" i="1"/>
  <c r="T45" i="1"/>
  <c r="AB45" i="1"/>
  <c r="AJ45" i="1"/>
  <c r="AN45" i="1"/>
  <c r="AR45" i="1"/>
  <c r="E45" i="1"/>
  <c r="M45" i="1"/>
  <c r="AS45" i="1"/>
  <c r="AV45" i="1"/>
  <c r="AW45" i="1"/>
  <c r="I45" i="1"/>
  <c r="Q45" i="1"/>
  <c r="U45" i="1"/>
  <c r="AG45" i="1"/>
  <c r="AK45" i="1"/>
  <c r="G45" i="1"/>
  <c r="K45" i="1"/>
  <c r="R45" i="1"/>
  <c r="V45" i="1"/>
  <c r="Z45" i="1"/>
  <c r="AD45" i="1"/>
  <c r="AH45" i="1"/>
  <c r="AL45" i="1"/>
  <c r="AP45" i="1"/>
  <c r="AT45" i="1"/>
  <c r="F45" i="1"/>
  <c r="J45" i="1"/>
  <c r="N45" i="1"/>
  <c r="I212" i="6" l="1"/>
  <c r="I211" i="6"/>
  <c r="I210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I44" i="6"/>
  <c r="I42" i="6"/>
  <c r="I39" i="6"/>
  <c r="I37" i="6"/>
  <c r="I35" i="6"/>
  <c r="I34" i="6"/>
  <c r="I38" i="6" l="1"/>
  <c r="I40" i="6"/>
  <c r="I45" i="6"/>
  <c r="I36" i="6"/>
  <c r="AX70" i="1"/>
  <c r="AT70" i="1"/>
  <c r="H213" i="6" l="1"/>
  <c r="H214" i="6"/>
  <c r="H215" i="6"/>
  <c r="H216" i="6"/>
  <c r="H209" i="6"/>
  <c r="G209" i="6"/>
  <c r="H212" i="6"/>
  <c r="H210" i="6"/>
  <c r="H217" i="6" l="1"/>
  <c r="H211" i="6"/>
  <c r="H104" i="6"/>
  <c r="H92" i="6"/>
  <c r="H98" i="6"/>
  <c r="H103" i="6"/>
  <c r="H102" i="6"/>
  <c r="H101" i="6"/>
  <c r="H100" i="6"/>
  <c r="H99" i="6"/>
  <c r="H97" i="6"/>
  <c r="H96" i="6"/>
  <c r="H95" i="6"/>
  <c r="H94" i="6"/>
  <c r="H93" i="6"/>
  <c r="H91" i="6"/>
  <c r="H90" i="6"/>
  <c r="H89" i="6"/>
  <c r="H88" i="6"/>
  <c r="H87" i="6"/>
  <c r="D103" i="6"/>
  <c r="D102" i="6"/>
  <c r="D101" i="6"/>
  <c r="D100" i="6"/>
  <c r="D99" i="6"/>
  <c r="D97" i="6"/>
  <c r="D96" i="6"/>
  <c r="D95" i="6"/>
  <c r="D94" i="6"/>
  <c r="D93" i="6"/>
  <c r="D91" i="6"/>
  <c r="D90" i="6"/>
  <c r="D89" i="6"/>
  <c r="D88" i="6"/>
  <c r="D87" i="6"/>
  <c r="H44" i="6"/>
  <c r="H42" i="6"/>
  <c r="H39" i="6"/>
  <c r="H37" i="6"/>
  <c r="H35" i="6"/>
  <c r="H34" i="6"/>
  <c r="I43" i="6"/>
  <c r="H29" i="6"/>
  <c r="I41" i="6"/>
  <c r="H24" i="6"/>
  <c r="H22" i="6"/>
  <c r="H20" i="6"/>
  <c r="AX69" i="1"/>
  <c r="AX68" i="1"/>
  <c r="AT69" i="1"/>
  <c r="AT68" i="1"/>
  <c r="AX106" i="1"/>
  <c r="AX91" i="1"/>
  <c r="AX26" i="1"/>
  <c r="AX25" i="1"/>
  <c r="AX10" i="1"/>
  <c r="H40" i="6" l="1"/>
  <c r="H43" i="6"/>
  <c r="H45" i="6"/>
  <c r="H36" i="6"/>
  <c r="H38" i="6"/>
  <c r="AR106" i="1"/>
  <c r="AS106" i="1"/>
  <c r="AT106" i="1"/>
  <c r="AU106" i="1"/>
  <c r="AV106" i="1"/>
  <c r="AW106" i="1"/>
  <c r="AW25" i="1"/>
  <c r="AV25" i="1"/>
  <c r="AU25" i="1"/>
  <c r="AT25" i="1"/>
  <c r="AS25" i="1"/>
  <c r="H41" i="6" l="1"/>
  <c r="G215" i="6" l="1"/>
  <c r="G210" i="6"/>
  <c r="G216" i="6"/>
  <c r="G217" i="6"/>
  <c r="G214" i="6"/>
  <c r="G213" i="6"/>
  <c r="G211" i="6"/>
  <c r="G41" i="6" l="1"/>
  <c r="G44" i="6"/>
  <c r="G43" i="6"/>
  <c r="G42" i="6"/>
  <c r="G39" i="6"/>
  <c r="G37" i="6"/>
  <c r="G35" i="6"/>
  <c r="G34" i="6"/>
  <c r="G20" i="6"/>
  <c r="AW91" i="1"/>
  <c r="AW26" i="1"/>
  <c r="AW10" i="1"/>
  <c r="G45" i="6" l="1"/>
  <c r="G40" i="6"/>
  <c r="G38" i="6"/>
  <c r="G36" i="6"/>
  <c r="G212" i="6"/>
  <c r="C212" i="6"/>
  <c r="D212" i="6"/>
  <c r="E212" i="6"/>
  <c r="F212" i="6"/>
  <c r="F209" i="6"/>
  <c r="F210" i="6"/>
  <c r="E210" i="6"/>
  <c r="D210" i="6"/>
  <c r="C210" i="6"/>
  <c r="G103" i="6" l="1"/>
  <c r="G102" i="6"/>
  <c r="G101" i="6"/>
  <c r="G100" i="6"/>
  <c r="G99" i="6"/>
  <c r="G97" i="6"/>
  <c r="G96" i="6"/>
  <c r="G95" i="6"/>
  <c r="G94" i="6"/>
  <c r="G93" i="6"/>
  <c r="G91" i="6"/>
  <c r="G90" i="6"/>
  <c r="G89" i="6"/>
  <c r="G88" i="6"/>
  <c r="G87" i="6"/>
  <c r="C103" i="6"/>
  <c r="C102" i="6"/>
  <c r="C101" i="6"/>
  <c r="C100" i="6"/>
  <c r="C99" i="6"/>
  <c r="C97" i="6"/>
  <c r="C96" i="6"/>
  <c r="C95" i="6"/>
  <c r="C94" i="6"/>
  <c r="C93" i="6"/>
  <c r="C91" i="6"/>
  <c r="C90" i="6"/>
  <c r="C89" i="6"/>
  <c r="C88" i="6"/>
  <c r="C87" i="6"/>
  <c r="G104" i="6"/>
  <c r="G98" i="6"/>
  <c r="G92" i="6"/>
  <c r="G22" i="6"/>
  <c r="G24" i="6"/>
  <c r="G29" i="6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O25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D32" i="2"/>
  <c r="E32" i="2"/>
  <c r="E38" i="2" s="1"/>
  <c r="F32" i="2"/>
  <c r="F34" i="2" s="1"/>
  <c r="G32" i="2"/>
  <c r="H32" i="2"/>
  <c r="I32" i="2"/>
  <c r="J32" i="2"/>
  <c r="K32" i="2"/>
  <c r="L32" i="2"/>
  <c r="M32" i="2"/>
  <c r="M38" i="2" s="1"/>
  <c r="N32" i="2"/>
  <c r="N34" i="2" s="1"/>
  <c r="O32" i="2"/>
  <c r="P32" i="2"/>
  <c r="Q32" i="2"/>
  <c r="R32" i="2"/>
  <c r="S32" i="2"/>
  <c r="T32" i="2"/>
  <c r="U32" i="2"/>
  <c r="U38" i="2" s="1"/>
  <c r="V32" i="2"/>
  <c r="V34" i="2" s="1"/>
  <c r="W32" i="2"/>
  <c r="X32" i="2"/>
  <c r="Y32" i="2"/>
  <c r="Z32" i="2"/>
  <c r="AA32" i="2"/>
  <c r="AB32" i="2"/>
  <c r="AC32" i="2"/>
  <c r="AC38" i="2" s="1"/>
  <c r="AD32" i="2"/>
  <c r="AD34" i="2" s="1"/>
  <c r="AE32" i="2"/>
  <c r="AF32" i="2"/>
  <c r="AG32" i="2"/>
  <c r="AH32" i="2"/>
  <c r="AH34" i="2" s="1"/>
  <c r="AI32" i="2"/>
  <c r="AJ32" i="2"/>
  <c r="AK32" i="2"/>
  <c r="AK38" i="2" s="1"/>
  <c r="AL32" i="2"/>
  <c r="AL34" i="2" s="1"/>
  <c r="AM32" i="2"/>
  <c r="AN32" i="2"/>
  <c r="AO32" i="2"/>
  <c r="AP32" i="2"/>
  <c r="AP34" i="2" s="1"/>
  <c r="AQ32" i="2"/>
  <c r="AR32" i="2"/>
  <c r="D33" i="2"/>
  <c r="D34" i="2" s="1"/>
  <c r="E33" i="2"/>
  <c r="E34" i="2" s="1"/>
  <c r="F33" i="2"/>
  <c r="G33" i="2"/>
  <c r="H33" i="2"/>
  <c r="I33" i="2"/>
  <c r="I34" i="2" s="1"/>
  <c r="J33" i="2"/>
  <c r="K33" i="2"/>
  <c r="L33" i="2"/>
  <c r="L34" i="2" s="1"/>
  <c r="M33" i="2"/>
  <c r="M34" i="2" s="1"/>
  <c r="N33" i="2"/>
  <c r="O33" i="2"/>
  <c r="P33" i="2"/>
  <c r="Q33" i="2"/>
  <c r="Q34" i="2" s="1"/>
  <c r="R33" i="2"/>
  <c r="S33" i="2"/>
  <c r="T33" i="2"/>
  <c r="T34" i="2" s="1"/>
  <c r="U33" i="2"/>
  <c r="U34" i="2" s="1"/>
  <c r="V33" i="2"/>
  <c r="W33" i="2"/>
  <c r="X33" i="2"/>
  <c r="Y33" i="2"/>
  <c r="Y34" i="2" s="1"/>
  <c r="Z33" i="2"/>
  <c r="AA33" i="2"/>
  <c r="AB33" i="2"/>
  <c r="AB34" i="2" s="1"/>
  <c r="AC33" i="2"/>
  <c r="AC34" i="2" s="1"/>
  <c r="AD33" i="2"/>
  <c r="AE33" i="2"/>
  <c r="AF33" i="2"/>
  <c r="AG33" i="2"/>
  <c r="AG34" i="2" s="1"/>
  <c r="AH33" i="2"/>
  <c r="AI33" i="2"/>
  <c r="AJ33" i="2"/>
  <c r="AJ34" i="2" s="1"/>
  <c r="AK33" i="2"/>
  <c r="AK34" i="2" s="1"/>
  <c r="AL33" i="2"/>
  <c r="AM33" i="2"/>
  <c r="AN33" i="2"/>
  <c r="AO33" i="2"/>
  <c r="AO34" i="2" s="1"/>
  <c r="AP33" i="2"/>
  <c r="AQ33" i="2"/>
  <c r="AR33" i="2"/>
  <c r="AR34" i="2" s="1"/>
  <c r="C34" i="2"/>
  <c r="G34" i="2"/>
  <c r="H34" i="2"/>
  <c r="K34" i="2"/>
  <c r="O34" i="2"/>
  <c r="P34" i="2"/>
  <c r="S34" i="2"/>
  <c r="W34" i="2"/>
  <c r="X34" i="2"/>
  <c r="AA34" i="2"/>
  <c r="AE34" i="2"/>
  <c r="AF34" i="2"/>
  <c r="AI34" i="2"/>
  <c r="AM34" i="2"/>
  <c r="AN34" i="2"/>
  <c r="AQ34" i="2"/>
  <c r="D35" i="2"/>
  <c r="E35" i="2"/>
  <c r="E36" i="2" s="1"/>
  <c r="F35" i="2"/>
  <c r="F36" i="2" s="1"/>
  <c r="G35" i="2"/>
  <c r="H35" i="2"/>
  <c r="I35" i="2"/>
  <c r="J35" i="2"/>
  <c r="J36" i="2" s="1"/>
  <c r="K35" i="2"/>
  <c r="L35" i="2"/>
  <c r="M35" i="2"/>
  <c r="M36" i="2" s="1"/>
  <c r="N35" i="2"/>
  <c r="N36" i="2" s="1"/>
  <c r="O35" i="2"/>
  <c r="P35" i="2"/>
  <c r="Q35" i="2"/>
  <c r="R35" i="2"/>
  <c r="R36" i="2" s="1"/>
  <c r="S35" i="2"/>
  <c r="T35" i="2"/>
  <c r="U35" i="2"/>
  <c r="U36" i="2" s="1"/>
  <c r="V35" i="2"/>
  <c r="V36" i="2" s="1"/>
  <c r="W35" i="2"/>
  <c r="X35" i="2"/>
  <c r="Y35" i="2"/>
  <c r="Z35" i="2"/>
  <c r="Z36" i="2" s="1"/>
  <c r="AA35" i="2"/>
  <c r="AB35" i="2"/>
  <c r="AC35" i="2"/>
  <c r="AC36" i="2" s="1"/>
  <c r="AD35" i="2"/>
  <c r="AD36" i="2" s="1"/>
  <c r="AE35" i="2"/>
  <c r="AF35" i="2"/>
  <c r="AF36" i="2" s="1"/>
  <c r="AG35" i="2"/>
  <c r="AH35" i="2"/>
  <c r="AH36" i="2" s="1"/>
  <c r="AI35" i="2"/>
  <c r="AJ35" i="2"/>
  <c r="AK35" i="2"/>
  <c r="AK36" i="2" s="1"/>
  <c r="AL35" i="2"/>
  <c r="AL36" i="2" s="1"/>
  <c r="AM35" i="2"/>
  <c r="AN35" i="2"/>
  <c r="AO35" i="2"/>
  <c r="AP35" i="2"/>
  <c r="AP36" i="2" s="1"/>
  <c r="AQ35" i="2"/>
  <c r="AR35" i="2"/>
  <c r="C36" i="2"/>
  <c r="D36" i="2"/>
  <c r="G36" i="2"/>
  <c r="H36" i="2"/>
  <c r="I36" i="2"/>
  <c r="K36" i="2"/>
  <c r="L36" i="2"/>
  <c r="O36" i="2"/>
  <c r="P36" i="2"/>
  <c r="Q36" i="2"/>
  <c r="S36" i="2"/>
  <c r="T36" i="2"/>
  <c r="W36" i="2"/>
  <c r="X36" i="2"/>
  <c r="Y36" i="2"/>
  <c r="AA36" i="2"/>
  <c r="AB36" i="2"/>
  <c r="AE36" i="2"/>
  <c r="AG36" i="2"/>
  <c r="AI36" i="2"/>
  <c r="AJ36" i="2"/>
  <c r="AM36" i="2"/>
  <c r="AN36" i="2"/>
  <c r="AO36" i="2"/>
  <c r="AQ36" i="2"/>
  <c r="AR36" i="2"/>
  <c r="C37" i="2"/>
  <c r="C38" i="2" s="1"/>
  <c r="D37" i="2"/>
  <c r="D38" i="2" s="1"/>
  <c r="E37" i="2"/>
  <c r="F37" i="2"/>
  <c r="G37" i="2"/>
  <c r="G38" i="2" s="1"/>
  <c r="H37" i="2"/>
  <c r="I37" i="2"/>
  <c r="J37" i="2"/>
  <c r="J38" i="2" s="1"/>
  <c r="K37" i="2"/>
  <c r="K38" i="2" s="1"/>
  <c r="L37" i="2"/>
  <c r="L38" i="2" s="1"/>
  <c r="M37" i="2"/>
  <c r="N37" i="2"/>
  <c r="O37" i="2"/>
  <c r="O38" i="2" s="1"/>
  <c r="P37" i="2"/>
  <c r="Q37" i="2"/>
  <c r="R37" i="2"/>
  <c r="R38" i="2" s="1"/>
  <c r="S37" i="2"/>
  <c r="S38" i="2" s="1"/>
  <c r="T37" i="2"/>
  <c r="T38" i="2" s="1"/>
  <c r="U37" i="2"/>
  <c r="V37" i="2"/>
  <c r="W37" i="2"/>
  <c r="W38" i="2" s="1"/>
  <c r="X37" i="2"/>
  <c r="X38" i="2" s="1"/>
  <c r="Y37" i="2"/>
  <c r="Z37" i="2"/>
  <c r="Z38" i="2" s="1"/>
  <c r="AA37" i="2"/>
  <c r="AA38" i="2" s="1"/>
  <c r="AB37" i="2"/>
  <c r="AB38" i="2" s="1"/>
  <c r="AC37" i="2"/>
  <c r="AD37" i="2"/>
  <c r="AE37" i="2"/>
  <c r="AE38" i="2" s="1"/>
  <c r="AF37" i="2"/>
  <c r="AG37" i="2"/>
  <c r="AH37" i="2"/>
  <c r="AH38" i="2" s="1"/>
  <c r="AI37" i="2"/>
  <c r="AI38" i="2" s="1"/>
  <c r="AJ37" i="2"/>
  <c r="AJ38" i="2" s="1"/>
  <c r="AK37" i="2"/>
  <c r="AL37" i="2"/>
  <c r="AM37" i="2"/>
  <c r="AM38" i="2" s="1"/>
  <c r="AN37" i="2"/>
  <c r="AN38" i="2" s="1"/>
  <c r="AO37" i="2"/>
  <c r="AP37" i="2"/>
  <c r="AP38" i="2" s="1"/>
  <c r="AQ37" i="2"/>
  <c r="AQ38" i="2" s="1"/>
  <c r="AR37" i="2"/>
  <c r="AR38" i="2" s="1"/>
  <c r="H38" i="2"/>
  <c r="I38" i="2"/>
  <c r="P38" i="2"/>
  <c r="Q38" i="2"/>
  <c r="Y38" i="2"/>
  <c r="AF38" i="2"/>
  <c r="AG38" i="2"/>
  <c r="AO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D42" i="2"/>
  <c r="D43" i="2" s="1"/>
  <c r="E42" i="2"/>
  <c r="F42" i="2"/>
  <c r="G42" i="2"/>
  <c r="H42" i="2"/>
  <c r="H43" i="2" s="1"/>
  <c r="I42" i="2"/>
  <c r="I43" i="2" s="1"/>
  <c r="J42" i="2"/>
  <c r="K42" i="2"/>
  <c r="K43" i="2" s="1"/>
  <c r="L42" i="2"/>
  <c r="L43" i="2" s="1"/>
  <c r="M42" i="2"/>
  <c r="N42" i="2"/>
  <c r="O42" i="2"/>
  <c r="P42" i="2"/>
  <c r="P43" i="2" s="1"/>
  <c r="Q42" i="2"/>
  <c r="Q43" i="2" s="1"/>
  <c r="R42" i="2"/>
  <c r="S42" i="2"/>
  <c r="S43" i="2" s="1"/>
  <c r="T42" i="2"/>
  <c r="T43" i="2" s="1"/>
  <c r="U42" i="2"/>
  <c r="V42" i="2"/>
  <c r="W42" i="2"/>
  <c r="X42" i="2"/>
  <c r="X43" i="2" s="1"/>
  <c r="Y42" i="2"/>
  <c r="Y43" i="2" s="1"/>
  <c r="Z42" i="2"/>
  <c r="AA42" i="2"/>
  <c r="AA43" i="2" s="1"/>
  <c r="AB42" i="2"/>
  <c r="AB43" i="2" s="1"/>
  <c r="AC42" i="2"/>
  <c r="AD42" i="2"/>
  <c r="AE42" i="2"/>
  <c r="AF42" i="2"/>
  <c r="AF43" i="2" s="1"/>
  <c r="AG42" i="2"/>
  <c r="AG43" i="2" s="1"/>
  <c r="AH42" i="2"/>
  <c r="AI42" i="2"/>
  <c r="AI43" i="2" s="1"/>
  <c r="AJ42" i="2"/>
  <c r="AJ43" i="2" s="1"/>
  <c r="AK42" i="2"/>
  <c r="AL42" i="2"/>
  <c r="AM42" i="2"/>
  <c r="AN42" i="2"/>
  <c r="AN43" i="2" s="1"/>
  <c r="AO42" i="2"/>
  <c r="AO43" i="2" s="1"/>
  <c r="AP42" i="2"/>
  <c r="AR42" i="2"/>
  <c r="AR43" i="2" s="1"/>
  <c r="C43" i="2"/>
  <c r="G43" i="2"/>
  <c r="O43" i="2"/>
  <c r="W43" i="2"/>
  <c r="AE43" i="2"/>
  <c r="AM43" i="2"/>
  <c r="AQ43" i="2"/>
  <c r="N62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M80" i="2"/>
  <c r="AN80" i="2"/>
  <c r="AO80" i="2"/>
  <c r="AP80" i="2"/>
  <c r="AQ80" i="2"/>
  <c r="AR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M88" i="2"/>
  <c r="AN88" i="2"/>
  <c r="AO88" i="2"/>
  <c r="AP88" i="2"/>
  <c r="AQ88" i="2"/>
  <c r="AR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M96" i="2"/>
  <c r="AN96" i="2"/>
  <c r="AO96" i="2"/>
  <c r="AP96" i="2"/>
  <c r="AQ96" i="2"/>
  <c r="AR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R99" i="2"/>
  <c r="AN111" i="2"/>
  <c r="AO111" i="2"/>
  <c r="AP111" i="2"/>
  <c r="AQ111" i="2"/>
  <c r="AQ187" i="2" s="1"/>
  <c r="AR111" i="2"/>
  <c r="AR187" i="2" s="1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N150" i="2"/>
  <c r="AO150" i="2"/>
  <c r="AP150" i="2"/>
  <c r="AQ150" i="2"/>
  <c r="AR150" i="2"/>
  <c r="AN153" i="2"/>
  <c r="AO153" i="2"/>
  <c r="AQ153" i="2"/>
  <c r="AR153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X175" i="2"/>
  <c r="D177" i="2"/>
  <c r="AG177" i="2"/>
  <c r="AG179" i="2" s="1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H179" i="2"/>
  <c r="AI179" i="2"/>
  <c r="AJ179" i="2"/>
  <c r="AK179" i="2"/>
  <c r="AL179" i="2"/>
  <c r="AM179" i="2"/>
  <c r="AN179" i="2"/>
  <c r="AO179" i="2"/>
  <c r="AP179" i="2"/>
  <c r="AQ179" i="2"/>
  <c r="AN185" i="2"/>
  <c r="AO185" i="2"/>
  <c r="AP185" i="2"/>
  <c r="AQ185" i="2"/>
  <c r="AR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N191" i="2"/>
  <c r="AO191" i="2"/>
  <c r="AP191" i="2"/>
  <c r="AQ191" i="2"/>
  <c r="AR191" i="2"/>
  <c r="AN192" i="2"/>
  <c r="AO192" i="2"/>
  <c r="AP192" i="2"/>
  <c r="AQ192" i="2"/>
  <c r="AR192" i="2"/>
  <c r="F211" i="6"/>
  <c r="E211" i="6"/>
  <c r="D211" i="6"/>
  <c r="C211" i="6"/>
  <c r="F104" i="6"/>
  <c r="D104" i="6"/>
  <c r="C104" i="6"/>
  <c r="F98" i="6"/>
  <c r="D98" i="6"/>
  <c r="C98" i="6"/>
  <c r="F92" i="6"/>
  <c r="D92" i="6"/>
  <c r="C92" i="6"/>
  <c r="F44" i="6"/>
  <c r="E44" i="6"/>
  <c r="D44" i="6"/>
  <c r="C44" i="6"/>
  <c r="F43" i="6"/>
  <c r="E43" i="6"/>
  <c r="D43" i="6"/>
  <c r="C43" i="6"/>
  <c r="F42" i="6"/>
  <c r="E42" i="6"/>
  <c r="D42" i="6"/>
  <c r="C42" i="6"/>
  <c r="F41" i="6"/>
  <c r="E41" i="6"/>
  <c r="D41" i="6"/>
  <c r="C41" i="6"/>
  <c r="F39" i="6"/>
  <c r="E39" i="6"/>
  <c r="D39" i="6"/>
  <c r="C39" i="6"/>
  <c r="F37" i="6"/>
  <c r="E37" i="6"/>
  <c r="D37" i="6"/>
  <c r="C37" i="6"/>
  <c r="F35" i="6"/>
  <c r="E35" i="6"/>
  <c r="D35" i="6"/>
  <c r="C35" i="6"/>
  <c r="F34" i="6"/>
  <c r="E34" i="6"/>
  <c r="D34" i="6"/>
  <c r="C34" i="6"/>
  <c r="Z34" i="2" l="1"/>
  <c r="R34" i="2"/>
  <c r="J34" i="2"/>
  <c r="AK43" i="2"/>
  <c r="AC43" i="2"/>
  <c r="U43" i="2"/>
  <c r="M43" i="2"/>
  <c r="E43" i="2"/>
  <c r="AL38" i="2"/>
  <c r="AD38" i="2"/>
  <c r="V38" i="2"/>
  <c r="N38" i="2"/>
  <c r="F38" i="2"/>
  <c r="F40" i="6"/>
  <c r="F36" i="6"/>
  <c r="C36" i="6"/>
  <c r="F38" i="6"/>
  <c r="C38" i="6"/>
  <c r="C40" i="6"/>
  <c r="F45" i="6"/>
  <c r="E45" i="6"/>
  <c r="D40" i="6"/>
  <c r="D36" i="6"/>
  <c r="E40" i="6"/>
  <c r="C45" i="6"/>
  <c r="D38" i="6"/>
  <c r="D45" i="6"/>
  <c r="E38" i="6"/>
  <c r="AP43" i="2"/>
  <c r="AL43" i="2"/>
  <c r="AH43" i="2"/>
  <c r="AD43" i="2"/>
  <c r="Z43" i="2"/>
  <c r="V43" i="2"/>
  <c r="R43" i="2"/>
  <c r="N43" i="2"/>
  <c r="J43" i="2"/>
  <c r="F43" i="2"/>
  <c r="E36" i="6"/>
  <c r="AT170" i="2"/>
  <c r="AV192" i="2"/>
  <c r="AV191" i="2"/>
  <c r="AV190" i="2"/>
  <c r="AV188" i="2"/>
  <c r="AV186" i="2"/>
  <c r="AV185" i="2"/>
  <c r="AV153" i="2"/>
  <c r="AU153" i="2"/>
  <c r="AS153" i="2"/>
  <c r="AV150" i="2"/>
  <c r="AU150" i="2"/>
  <c r="AT150" i="2"/>
  <c r="AS150" i="2"/>
  <c r="AV111" i="2"/>
  <c r="AV187" i="2" s="1"/>
  <c r="AU111" i="2"/>
  <c r="AT111" i="2"/>
  <c r="AS111" i="2"/>
  <c r="AV76" i="2" l="1"/>
  <c r="AV99" i="2"/>
  <c r="AV98" i="2"/>
  <c r="AV96" i="2"/>
  <c r="AV95" i="2"/>
  <c r="AV94" i="2"/>
  <c r="AV93" i="2"/>
  <c r="AV92" i="2"/>
  <c r="AV91" i="2"/>
  <c r="AV90" i="2"/>
  <c r="AV88" i="2"/>
  <c r="AV87" i="2"/>
  <c r="AV86" i="2"/>
  <c r="AV85" i="2"/>
  <c r="AV84" i="2"/>
  <c r="AV83" i="2"/>
  <c r="AV82" i="2"/>
  <c r="AV80" i="2"/>
  <c r="AV79" i="2"/>
  <c r="AV78" i="2"/>
  <c r="AV77" i="2"/>
  <c r="AV42" i="2"/>
  <c r="AV41" i="2"/>
  <c r="AV40" i="2"/>
  <c r="AV39" i="2"/>
  <c r="AV37" i="2"/>
  <c r="AV35" i="2"/>
  <c r="AV33" i="2"/>
  <c r="AV32" i="2"/>
  <c r="AV91" i="1"/>
  <c r="AV26" i="1"/>
  <c r="AV10" i="1"/>
  <c r="AV36" i="2" l="1"/>
  <c r="AV34" i="2"/>
  <c r="AV38" i="2"/>
  <c r="AV43" i="2"/>
  <c r="AU192" i="2"/>
  <c r="AU191" i="2"/>
  <c r="AU188" i="2"/>
  <c r="AU186" i="2"/>
  <c r="AU185" i="2"/>
  <c r="AU187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42" i="2"/>
  <c r="AU41" i="2"/>
  <c r="AU40" i="2"/>
  <c r="AU39" i="2"/>
  <c r="AU37" i="2"/>
  <c r="AU35" i="2"/>
  <c r="AU33" i="2"/>
  <c r="AU32" i="2"/>
  <c r="AU91" i="1"/>
  <c r="AU26" i="1"/>
  <c r="AU10" i="1"/>
  <c r="AU36" i="2" l="1"/>
  <c r="AU43" i="2"/>
  <c r="AU38" i="2"/>
  <c r="AU34" i="2"/>
  <c r="AT188" i="2"/>
  <c r="AT192" i="2"/>
  <c r="AT191" i="2"/>
  <c r="AT187" i="2"/>
  <c r="AT186" i="2"/>
  <c r="AT99" i="2" l="1"/>
  <c r="AT98" i="2"/>
  <c r="AT97" i="2"/>
  <c r="AT96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9" i="2"/>
  <c r="AT78" i="2"/>
  <c r="AT77" i="2"/>
  <c r="AT76" i="2"/>
  <c r="AT42" i="2"/>
  <c r="AT41" i="2"/>
  <c r="AT40" i="2"/>
  <c r="AT39" i="2"/>
  <c r="AT37" i="2"/>
  <c r="AT35" i="2"/>
  <c r="AT33" i="2"/>
  <c r="AT32" i="2"/>
  <c r="AT34" i="2" s="1"/>
  <c r="AT36" i="2" l="1"/>
  <c r="AT38" i="2"/>
  <c r="AT43" i="2"/>
  <c r="AT185" i="2"/>
  <c r="AT26" i="1" l="1"/>
  <c r="AT91" i="1" l="1"/>
  <c r="AT10" i="1"/>
  <c r="AS40" i="2" l="1"/>
  <c r="AS192" i="2" l="1"/>
  <c r="AS191" i="2"/>
  <c r="AS188" i="2"/>
  <c r="AS187" i="2"/>
  <c r="AS186" i="2"/>
  <c r="AS185" i="2"/>
  <c r="AS80" i="2"/>
  <c r="AS96" i="2"/>
  <c r="AS88" i="2"/>
  <c r="AS91" i="1" l="1"/>
  <c r="AS26" i="1"/>
  <c r="AS10" i="1"/>
  <c r="AS99" i="2" l="1"/>
  <c r="AS98" i="2"/>
  <c r="AS97" i="2"/>
  <c r="AS95" i="2"/>
  <c r="AS94" i="2"/>
  <c r="AS93" i="2"/>
  <c r="AS92" i="2"/>
  <c r="AS91" i="2"/>
  <c r="AS90" i="2"/>
  <c r="AS89" i="2"/>
  <c r="AS87" i="2"/>
  <c r="AS86" i="2"/>
  <c r="AS85" i="2"/>
  <c r="AS84" i="2"/>
  <c r="AS83" i="2"/>
  <c r="AS82" i="2"/>
  <c r="AS81" i="2"/>
  <c r="AS79" i="2"/>
  <c r="AS78" i="2"/>
  <c r="AS77" i="2"/>
  <c r="AS76" i="2"/>
  <c r="AS42" i="2"/>
  <c r="AS41" i="2"/>
  <c r="AS39" i="2"/>
  <c r="AS37" i="2"/>
  <c r="AS35" i="2"/>
  <c r="AS33" i="2"/>
  <c r="AS32" i="2"/>
  <c r="AS34" i="2" l="1"/>
  <c r="AS43" i="2"/>
  <c r="AS38" i="2"/>
  <c r="AS36" i="2"/>
  <c r="AR91" i="1" l="1"/>
  <c r="AR26" i="1" l="1"/>
  <c r="AR25" i="1"/>
  <c r="AR10" i="1"/>
  <c r="AG25" i="1" l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26" i="1"/>
  <c r="AO106" i="1" l="1"/>
  <c r="AK106" i="1"/>
  <c r="AG106" i="1"/>
  <c r="AC106" i="1"/>
  <c r="Y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Q10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25" i="1"/>
  <c r="AQ91" i="1"/>
  <c r="AQ10" i="1"/>
  <c r="AP106" i="1" l="1"/>
  <c r="AP91" i="1"/>
  <c r="AP10" i="1"/>
  <c r="AO91" i="1" l="1"/>
  <c r="AO10" i="1"/>
  <c r="AN91" i="1" l="1"/>
  <c r="AN10" i="1"/>
  <c r="AM91" i="1" l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C10" i="1"/>
  <c r="D10" i="1"/>
  <c r="H10" i="1"/>
  <c r="G10" i="1"/>
  <c r="F10" i="1"/>
  <c r="E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6" i="1" l="1"/>
  <c r="AI106" i="1" l="1"/>
  <c r="AH106" i="1"/>
  <c r="V106" i="1"/>
  <c r="AA106" i="1"/>
  <c r="AD106" i="1"/>
  <c r="AN106" i="1" l="1"/>
  <c r="AM106" i="1"/>
  <c r="AJ106" i="1"/>
  <c r="AL106" i="1"/>
  <c r="W106" i="1"/>
  <c r="AB106" i="1"/>
  <c r="AE106" i="1"/>
  <c r="X106" i="1" l="1"/>
  <c r="AF10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47246AEE-B10C-4AC8-898D-DA5BA69C09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1" authorId="0" shapeId="0" xr:uid="{12D67C69-4094-4C23-89AE-9947442108A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9" authorId="0" shapeId="0" xr:uid="{BF49551E-7465-4AC1-8436-CEF26C8522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1" authorId="0" shapeId="0" xr:uid="{0B5A54F8-563F-4BC6-BF77-D23AAAAF54C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9" authorId="0" shapeId="0" xr:uid="{CF68BAF0-85E6-4102-9BE0-808CC7D4FFA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7" authorId="0" shapeId="0" xr:uid="{C040E2D9-2961-40DF-B9AB-C350C1EC42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1" authorId="0" shapeId="0" xr:uid="{22BEA2F9-6B06-4325-AE52-93D996A94A29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7" authorId="0" shapeId="0" xr:uid="{975B1992-9758-4BD5-85BC-636A705A8A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3" authorId="0" shapeId="0" xr:uid="{D97B1057-4AC1-419E-8B74-0AD3955B0EF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9" authorId="0" shapeId="0" xr:uid="{0B3C9A8F-57F2-49E5-9452-3BCB730CD2B8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3" authorId="0" shapeId="0" xr:uid="{FFF46BA7-7FD0-4361-856C-E3E56E0B62C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8" authorId="0" shapeId="0" xr:uid="{553E045B-AA19-4871-9072-33734657CC1C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77" authorId="0" shapeId="0" xr:uid="{EAF26A45-ECBF-4434-B1CE-57364EBC01C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</commentList>
</comments>
</file>

<file path=xl/sharedStrings.xml><?xml version="1.0" encoding="utf-8"?>
<sst xmlns="http://schemas.openxmlformats.org/spreadsheetml/2006/main" count="1461" uniqueCount="246">
  <si>
    <t>Dönem</t>
  </si>
  <si>
    <t>3Ç08</t>
  </si>
  <si>
    <t>4Ç08</t>
  </si>
  <si>
    <t>Türkiye</t>
  </si>
  <si>
    <t>Yurtdışı</t>
  </si>
  <si>
    <t>Ortadoğu</t>
  </si>
  <si>
    <t>Hazar Bölgesi</t>
  </si>
  <si>
    <t>1Ç09</t>
  </si>
  <si>
    <t>2Ç09</t>
  </si>
  <si>
    <t>3Ç09</t>
  </si>
  <si>
    <t>4Ç09</t>
  </si>
  <si>
    <t>1Ç10</t>
  </si>
  <si>
    <t>2Ç10</t>
  </si>
  <si>
    <t>3Ç10</t>
  </si>
  <si>
    <t>4Ç10</t>
  </si>
  <si>
    <t>1Ç11</t>
  </si>
  <si>
    <t>2Ç11</t>
  </si>
  <si>
    <t>3Ç11</t>
  </si>
  <si>
    <t>4Ç11</t>
  </si>
  <si>
    <t>1Ç12</t>
  </si>
  <si>
    <t>2Ç12</t>
  </si>
  <si>
    <t>3Ç12</t>
  </si>
  <si>
    <t>4Ç12</t>
  </si>
  <si>
    <t>1Ç13</t>
  </si>
  <si>
    <t>2Ç13</t>
  </si>
  <si>
    <t>3Ç13</t>
  </si>
  <si>
    <t>4Ç13</t>
  </si>
  <si>
    <t>1Ç14</t>
  </si>
  <si>
    <t>2Ç14</t>
  </si>
  <si>
    <t>3Ç14</t>
  </si>
  <si>
    <t>4Ç14</t>
  </si>
  <si>
    <t>1Ç15</t>
  </si>
  <si>
    <t>2Ç15</t>
  </si>
  <si>
    <t>3Ç15</t>
  </si>
  <si>
    <t>4Ç15</t>
  </si>
  <si>
    <t>1Ç16</t>
  </si>
  <si>
    <t>2Ç16</t>
  </si>
  <si>
    <t>3Ç16</t>
  </si>
  <si>
    <t>4Ç16</t>
  </si>
  <si>
    <t>1Ç17</t>
  </si>
  <si>
    <t>2Ç17</t>
  </si>
  <si>
    <t>3Ç17</t>
  </si>
  <si>
    <t>Kalan İş Miktarı (USDmn)</t>
  </si>
  <si>
    <t>Ulaşım</t>
  </si>
  <si>
    <t>Boru hattı</t>
  </si>
  <si>
    <t>Endüstriyel Tesisler</t>
  </si>
  <si>
    <t>Bina</t>
  </si>
  <si>
    <t>Bayi Satışları</t>
  </si>
  <si>
    <t>Toplu Satışlar</t>
  </si>
  <si>
    <t>Ortalama Yurtiçi Satış Fiyatları (ABD$/ton)</t>
  </si>
  <si>
    <t>CAN</t>
  </si>
  <si>
    <t>CAN*</t>
  </si>
  <si>
    <t>AN33</t>
  </si>
  <si>
    <t>AS</t>
  </si>
  <si>
    <t>Üre</t>
  </si>
  <si>
    <t>DAP</t>
  </si>
  <si>
    <t>Kompoze</t>
  </si>
  <si>
    <t>Kapasite Kullanım Oranı</t>
  </si>
  <si>
    <t>Taahhüt Grubu</t>
  </si>
  <si>
    <t>Gübre Üretimi (1.000 ton)</t>
  </si>
  <si>
    <t>Gübre Tedariği (1.000 ton)</t>
  </si>
  <si>
    <t>Elleçlenen Tonaj (1.000 ton)</t>
  </si>
  <si>
    <t>Ultra Azot</t>
  </si>
  <si>
    <t>Kuzey Afrika</t>
  </si>
  <si>
    <t>İmalat İşleri</t>
  </si>
  <si>
    <t>TL milyon</t>
  </si>
  <si>
    <t>Net Satışlar</t>
  </si>
  <si>
    <t>Brüt Kar</t>
  </si>
  <si>
    <t>Marj</t>
  </si>
  <si>
    <t>Faaliyet Karı</t>
  </si>
  <si>
    <t>FAVÖK</t>
  </si>
  <si>
    <t>Net Finansal Gelirler/Giderler</t>
  </si>
  <si>
    <t xml:space="preserve">Vergi Giderleri </t>
  </si>
  <si>
    <t>Net Kar</t>
  </si>
  <si>
    <t>Tarımsal Sanayi Grubu</t>
  </si>
  <si>
    <t>Gayrimenkul Geliştirme Grubu</t>
  </si>
  <si>
    <t>Diğer</t>
  </si>
  <si>
    <t>Toplam Gelirler</t>
  </si>
  <si>
    <t>Konsolide FAVÖK</t>
  </si>
  <si>
    <t>Konsolide Net Kar</t>
  </si>
  <si>
    <t>Proje Türüne Göre Kalan İş Miktarı Dağılımı</t>
  </si>
  <si>
    <t>9A17</t>
  </si>
  <si>
    <t>6A17</t>
  </si>
  <si>
    <t>3A17</t>
  </si>
  <si>
    <t>3A16</t>
  </si>
  <si>
    <t>6A16</t>
  </si>
  <si>
    <t>9A16</t>
  </si>
  <si>
    <t>3A15</t>
  </si>
  <si>
    <t>6A15</t>
  </si>
  <si>
    <t>9A15</t>
  </si>
  <si>
    <t>3A14</t>
  </si>
  <si>
    <t>6A14</t>
  </si>
  <si>
    <t>9A14</t>
  </si>
  <si>
    <t>3A13</t>
  </si>
  <si>
    <t>6A13</t>
  </si>
  <si>
    <t>9A13</t>
  </si>
  <si>
    <t>3A12</t>
  </si>
  <si>
    <t>6A12</t>
  </si>
  <si>
    <t>9A12</t>
  </si>
  <si>
    <t>9A08</t>
  </si>
  <si>
    <t>3A09</t>
  </si>
  <si>
    <t>6A09</t>
  </si>
  <si>
    <t>9A09</t>
  </si>
  <si>
    <t>3A10</t>
  </si>
  <si>
    <t>6A10</t>
  </si>
  <si>
    <t>9A10</t>
  </si>
  <si>
    <t>3A11</t>
  </si>
  <si>
    <t>6A11</t>
  </si>
  <si>
    <t>9A11</t>
  </si>
  <si>
    <t>Kiralanan kapasite (1.000 m3
)</t>
  </si>
  <si>
    <t>Petrol ürünlerinde doluluk oranı</t>
  </si>
  <si>
    <t>Terminal Hizmetleri</t>
  </si>
  <si>
    <t>Konsolide Özet Bilanço</t>
  </si>
  <si>
    <t>Nakit ve Benzerleri</t>
  </si>
  <si>
    <t>Ticari Alacaklar</t>
  </si>
  <si>
    <t>Stoklar</t>
  </si>
  <si>
    <t>Maddi Duran Varlıklar</t>
  </si>
  <si>
    <t>Maddi Olmayan Duran Varlıklar</t>
  </si>
  <si>
    <t>Toplam Varlıklar</t>
  </si>
  <si>
    <t>Ticari Borçlar</t>
  </si>
  <si>
    <t>Kısa Vadeli Finansal Borçlanmalar</t>
  </si>
  <si>
    <t>Uzun Vadeli Finansal Borçlanmalar</t>
  </si>
  <si>
    <t>Özsermaye</t>
  </si>
  <si>
    <t>Toplam Yükümlülükler ve Özsermaye</t>
  </si>
  <si>
    <t>Konsolide Özet Nakit Akım Tablosu</t>
  </si>
  <si>
    <t xml:space="preserve"> Dönem Karı</t>
  </si>
  <si>
    <t xml:space="preserve"> Dönem Net Karı Mutabakatı ile İlgili Düzeltmeler</t>
  </si>
  <si>
    <t xml:space="preserve"> İşletme Sermayesinde Gerçekleşen Değişimler</t>
  </si>
  <si>
    <t>Yatırım Faaliyetlerinden Kaynaklanan Nakit Akışı</t>
  </si>
  <si>
    <t>İşletme Faaliyetlerinden Kaynaklanan Nakit Akışı</t>
  </si>
  <si>
    <t>Yatırım Harcamaları</t>
  </si>
  <si>
    <t>Diğer Yatırım Faaliyetleri</t>
  </si>
  <si>
    <t>Finansman Faaliyetlerinden Nakit Akışı</t>
  </si>
  <si>
    <t>Nakit ve Benzerlerindeki Net Artış</t>
  </si>
  <si>
    <t>Tank İşleri</t>
  </si>
  <si>
    <t>Enerji Santralleri</t>
  </si>
  <si>
    <t>İnşaat İşleri</t>
  </si>
  <si>
    <t>Bulgaristan</t>
  </si>
  <si>
    <t>Ödenen Temettüler</t>
  </si>
  <si>
    <t>Rasyolar</t>
  </si>
  <si>
    <t>Net Borç/FAVÖK</t>
  </si>
  <si>
    <t>Net Borç/Özsermaye</t>
  </si>
  <si>
    <t xml:space="preserve">Borç/Özsermaye </t>
  </si>
  <si>
    <t xml:space="preserve">Finansal Kaldıraç </t>
  </si>
  <si>
    <t>Cari Oran</t>
  </si>
  <si>
    <t>Nakit Oranı</t>
  </si>
  <si>
    <t>Özsermaye Karlılığı</t>
  </si>
  <si>
    <t>Aktif Karlılığı</t>
  </si>
  <si>
    <t>Borçlanmadan Kaynaklanan Nakit Girişleri/Çıkışları</t>
  </si>
  <si>
    <t>Net Borç</t>
  </si>
  <si>
    <t>Konsolide Özet Gelir Tablosu (Kümülatif)</t>
  </si>
  <si>
    <t>Konsolide Özet Gelir Tablosu (Çeyreklik)</t>
  </si>
  <si>
    <t>Konsolide Gelir, FAVÖK ve Net Kar Dağılımı (Kümülatif)</t>
  </si>
  <si>
    <t>Konsolide Gelir, FAVÖK ve Net Kar Dağılımı (Çeyreklik)</t>
  </si>
  <si>
    <t>-</t>
  </si>
  <si>
    <t>Bölümler bazında varlıklar ve kaynaklar:</t>
  </si>
  <si>
    <t>Toplam varlıklar</t>
  </si>
  <si>
    <t>Kısa ve uzun vadeli yükümlülükler</t>
  </si>
  <si>
    <t>Ana ortaklığa ait özkaynaklar</t>
  </si>
  <si>
    <t>Kontrol gücü olmayan paylar</t>
  </si>
  <si>
    <t>Eliminasyonlar</t>
  </si>
  <si>
    <t>Maddi, maddi olmayan duran varlıklar ile ilgili bölümler bazında bilgi</t>
  </si>
  <si>
    <t>Yatırım harcamaları</t>
  </si>
  <si>
    <t>Dönem içi amortisman gideri ve itfa payı</t>
  </si>
  <si>
    <t>İçindekiler</t>
  </si>
  <si>
    <t>Yukarı</t>
  </si>
  <si>
    <t>Net Nakit Durumu</t>
  </si>
  <si>
    <t>Net Nakit/Borç</t>
  </si>
  <si>
    <t>Çeyreklik Operasyonel Veriler</t>
  </si>
  <si>
    <t>Kümülatif Operasyonel Veriler</t>
  </si>
  <si>
    <t>Terminal</t>
  </si>
  <si>
    <t>4Ç17</t>
  </si>
  <si>
    <t>3A18</t>
  </si>
  <si>
    <t>1Ç18</t>
  </si>
  <si>
    <t>2Ç18</t>
  </si>
  <si>
    <t>6A18</t>
  </si>
  <si>
    <t>3Ç18</t>
  </si>
  <si>
    <t>9A18</t>
  </si>
  <si>
    <t>İhracat</t>
  </si>
  <si>
    <t>Gübre Satışlar (1.000 ton)</t>
  </si>
  <si>
    <t>Yurtiçi Satışlar</t>
  </si>
  <si>
    <t>Yurtiçi Satışlar Ürün Dağılımı</t>
  </si>
  <si>
    <t>n.a.</t>
  </si>
  <si>
    <t>4Ç18</t>
  </si>
  <si>
    <t>Tekfen Tarım</t>
  </si>
  <si>
    <t>Toros Tarım</t>
  </si>
  <si>
    <t>VÖK</t>
  </si>
  <si>
    <t>1Ç19</t>
  </si>
  <si>
    <t>3A19</t>
  </si>
  <si>
    <t>2Ç19</t>
  </si>
  <si>
    <t>6A19</t>
  </si>
  <si>
    <t>Organomineral</t>
  </si>
  <si>
    <t>3Ç19</t>
  </si>
  <si>
    <t>9A19</t>
  </si>
  <si>
    <t>4Ç19</t>
  </si>
  <si>
    <t>3A20</t>
  </si>
  <si>
    <t>1Ç20</t>
  </si>
  <si>
    <t>Mühendislik ve Taahhüt</t>
  </si>
  <si>
    <t>Kimya Sanayi</t>
  </si>
  <si>
    <t>Tarımsal Üretim</t>
  </si>
  <si>
    <t>Hizmet</t>
  </si>
  <si>
    <t>Yatırım</t>
  </si>
  <si>
    <t>Aktif Devir Hızı Oranı</t>
  </si>
  <si>
    <t>Mühenislik ve Taahhüt</t>
  </si>
  <si>
    <t>Alanar</t>
  </si>
  <si>
    <t>Tekfen Tarımsal</t>
  </si>
  <si>
    <t>Fidan (adet)</t>
  </si>
  <si>
    <t>Üretimden Satışlar</t>
  </si>
  <si>
    <t>Yemeklik patates</t>
  </si>
  <si>
    <t>Tohumluk patates</t>
  </si>
  <si>
    <t>Muz meyvesi</t>
  </si>
  <si>
    <t>Susam</t>
  </si>
  <si>
    <t xml:space="preserve">Buğday </t>
  </si>
  <si>
    <t>Ticari Satışlar</t>
  </si>
  <si>
    <t>Muz Meyvesi</t>
  </si>
  <si>
    <t>®</t>
  </si>
  <si>
    <t>Özel Gübreler</t>
  </si>
  <si>
    <t>Muz Fidanı (Adet)</t>
  </si>
  <si>
    <t>Üretimden Satışlar (ton)</t>
  </si>
  <si>
    <t>Ticari Satışlar (ton)</t>
  </si>
  <si>
    <t>2Ç20</t>
  </si>
  <si>
    <t>6A20</t>
  </si>
  <si>
    <t>Muz Çiçeği</t>
  </si>
  <si>
    <t>Kiraz Anacı</t>
  </si>
  <si>
    <t>Yurtdışı Satışlar</t>
  </si>
  <si>
    <t>Kiraz Anacı (bin adet)</t>
  </si>
  <si>
    <t>Muz Çiçeği (bin adet)</t>
  </si>
  <si>
    <t>Muz Fidanı (bin adet)</t>
  </si>
  <si>
    <t>9A20</t>
  </si>
  <si>
    <t>3Ç20</t>
  </si>
  <si>
    <t>Azotlu Gübre</t>
  </si>
  <si>
    <t>Fosfatlı Gübre</t>
  </si>
  <si>
    <t>Diğer Gübre</t>
  </si>
  <si>
    <t>4Ç20</t>
  </si>
  <si>
    <t>USD/TRY Ortalama:</t>
  </si>
  <si>
    <t>USD/TRY Kapanış:</t>
  </si>
  <si>
    <t>Arpa</t>
  </si>
  <si>
    <t>Buğday Tohumu</t>
  </si>
  <si>
    <t>Buğday Unluk</t>
  </si>
  <si>
    <t>Buğday Ekealtı</t>
  </si>
  <si>
    <t>Konsolide FAVÖK ve Net Kar Marjları Dağılımı (Çeyreklik)</t>
  </si>
  <si>
    <t>Konsolide FAVÖK Marjı</t>
  </si>
  <si>
    <t>Konsolide Net Kar Marjı</t>
  </si>
  <si>
    <t>Konsolide FAVÖK ve Net Kar Marjları Dağılımı (Kümülatif)</t>
  </si>
  <si>
    <t>1Ç21</t>
  </si>
  <si>
    <t>3A21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</si>
</sst>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color theme="1"/>
      <name val="Arial"/>
      <family val="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b/>
      <sz val="16"/>
      <color rgb="FF002060"/>
      <name val="Arial"/>
      <family val="2"/>
      <charset val="162"/>
    </font>
    <font>
      <sz val="10"/>
      <color theme="1"/>
      <name val="Symbol"/>
      <family val="1"/>
      <charset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indent="1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1"/>
    </xf>
    <xf numFmtId="3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3" fontId="4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2"/>
    </xf>
    <xf numFmtId="3" fontId="4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5" fillId="2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9" fontId="3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3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indent="1"/>
    </xf>
    <xf numFmtId="0" fontId="3" fillId="3" borderId="2" xfId="0" applyFont="1" applyFill="1" applyBorder="1"/>
    <xf numFmtId="3" fontId="3" fillId="3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3" borderId="3" xfId="0" applyFont="1" applyFill="1" applyBorder="1"/>
    <xf numFmtId="3" fontId="3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indent="1"/>
    </xf>
    <xf numFmtId="164" fontId="2" fillId="3" borderId="1" xfId="1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2" borderId="0" xfId="0" applyFont="1" applyFill="1" applyBorder="1" applyAlignment="1">
      <alignment horizontal="left" indent="2"/>
    </xf>
    <xf numFmtId="3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wrapText="1"/>
    </xf>
    <xf numFmtId="0" fontId="11" fillId="2" borderId="0" xfId="2" applyFont="1" applyFill="1"/>
    <xf numFmtId="0" fontId="12" fillId="2" borderId="0" xfId="0" applyFont="1" applyFill="1"/>
    <xf numFmtId="0" fontId="13" fillId="2" borderId="2" xfId="0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4" fillId="2" borderId="1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  <xf numFmtId="164" fontId="2" fillId="2" borderId="0" xfId="1" applyNumberFormat="1" applyFont="1" applyFill="1"/>
    <xf numFmtId="3" fontId="6" fillId="3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3" fontId="16" fillId="2" borderId="0" xfId="0" applyNumberFormat="1" applyFont="1" applyFill="1" applyAlignment="1">
      <alignment horizontal="center"/>
    </xf>
    <xf numFmtId="3" fontId="4" fillId="6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4" fillId="2" borderId="0" xfId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5" fillId="2" borderId="3" xfId="0" applyFont="1" applyFill="1" applyBorder="1" applyAlignment="1">
      <alignment horizontal="left" indent="1"/>
    </xf>
    <xf numFmtId="0" fontId="19" fillId="2" borderId="0" xfId="0" applyFont="1" applyFill="1" applyAlignment="1">
      <alignment horizontal="center"/>
    </xf>
    <xf numFmtId="9" fontId="2" fillId="2" borderId="0" xfId="1" applyFont="1" applyFill="1"/>
    <xf numFmtId="0" fontId="2" fillId="2" borderId="1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left" indent="1"/>
    </xf>
    <xf numFmtId="0" fontId="13" fillId="2" borderId="1" xfId="0" applyFont="1" applyFill="1" applyBorder="1" applyAlignment="1">
      <alignment horizontal="left" indent="1"/>
    </xf>
    <xf numFmtId="3" fontId="20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15" fillId="2" borderId="0" xfId="1" applyNumberFormat="1" applyFont="1" applyFill="1"/>
    <xf numFmtId="164" fontId="12" fillId="2" borderId="0" xfId="1" applyNumberFormat="1" applyFont="1" applyFill="1"/>
    <xf numFmtId="0" fontId="15" fillId="7" borderId="3" xfId="0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" fontId="2" fillId="2" borderId="0" xfId="0" applyNumberFormat="1" applyFont="1" applyFill="1"/>
    <xf numFmtId="0" fontId="18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3" fontId="15" fillId="2" borderId="3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3" xr:uid="{E76BB8D7-1ABB-4B88-8E85-0602C299EF7A}"/>
    <cellStyle name="Percent" xfId="1" builtinId="5"/>
    <cellStyle name="Percent 2" xfId="4" xr:uid="{61A9BC19-2279-46A4-9964-43D040CD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339723</xdr:colOff>
      <xdr:row>0</xdr:row>
      <xdr:rowOff>67238</xdr:rowOff>
    </xdr:from>
    <xdr:to>
      <xdr:col>6</xdr:col>
      <xdr:colOff>387348</xdr:colOff>
      <xdr:row>18</xdr:row>
      <xdr:rowOff>44825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52" y="67238"/>
          <a:ext cx="3185272" cy="3043516"/>
        </a:xfrm>
        <a:prstGeom prst="rect">
          <a:avLst/>
        </a:prstGeom>
      </xdr:spPr>
    </xdr:pic>
    <xdr:clientData/>
  </xdr:twoCellAnchor>
  <xdr:twoCellAnchor>
    <xdr:from>
      <xdr:col>1</xdr:col>
      <xdr:colOff>302933</xdr:colOff>
      <xdr:row>16</xdr:row>
      <xdr:rowOff>57335</xdr:rowOff>
    </xdr:from>
    <xdr:to>
      <xdr:col>6</xdr:col>
      <xdr:colOff>436283</xdr:colOff>
      <xdr:row>21</xdr:row>
      <xdr:rowOff>91887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462" y="2782606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>
              <a:latin typeface="Aharoni" panose="02010803020104030203" pitchFamily="2" charset="-79"/>
              <a:cs typeface="Aharoni" panose="02010803020104030203" pitchFamily="2" charset="-79"/>
            </a:rPr>
            <a:t>Özet Finansal ve Operasyonel Veriler</a:t>
          </a:r>
        </a:p>
      </xdr:txBody>
    </xdr:sp>
    <xdr:clientData/>
  </xdr:twoCellAnchor>
  <xdr:twoCellAnchor>
    <xdr:from>
      <xdr:col>1</xdr:col>
      <xdr:colOff>328332</xdr:colOff>
      <xdr:row>22</xdr:row>
      <xdr:rowOff>73770</xdr:rowOff>
    </xdr:from>
    <xdr:to>
      <xdr:col>6</xdr:col>
      <xdr:colOff>461682</xdr:colOff>
      <xdr:row>28</xdr:row>
      <xdr:rowOff>116352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5861" y="3821017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600"/>
            </a:spcBef>
          </a:pPr>
          <a:r>
            <a:rPr lang="tr-TR" sz="1400" b="1" u="sng">
              <a:latin typeface="Arial" panose="020B0604020202020204" pitchFamily="34" charset="0"/>
              <a:cs typeface="Arial" panose="020B0604020202020204" pitchFamily="34" charset="0"/>
            </a:rPr>
            <a:t>Tekfen</a:t>
          </a:r>
          <a:r>
            <a:rPr lang="tr-TR" sz="1400" b="1" u="sng" baseline="0">
              <a:latin typeface="Arial" panose="020B0604020202020204" pitchFamily="34" charset="0"/>
              <a:cs typeface="Arial" panose="020B0604020202020204" pitchFamily="34" charset="0"/>
            </a:rPr>
            <a:t> Holding Yatırımcı İlişkileri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Çağlar Gülveren</a:t>
          </a:r>
        </a:p>
        <a:p>
          <a:pPr algn="ctr">
            <a:spcBef>
              <a:spcPts val="600"/>
            </a:spcBef>
          </a:pPr>
          <a:r>
            <a:rPr lang="tr-TR" sz="1200" b="1" baseline="0">
              <a:latin typeface="Arial" panose="020B0604020202020204" pitchFamily="34" charset="0"/>
              <a:cs typeface="Arial" panose="020B0604020202020204" pitchFamily="34" charset="0"/>
            </a:rPr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3019425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2467F0-B757-456E-8B4F-F14C3EE6DCED}"/>
            </a:ext>
          </a:extLst>
        </xdr:cNvPr>
        <xdr:cNvCxnSpPr/>
      </xdr:nvCxnSpPr>
      <xdr:spPr>
        <a:xfrm flipV="1">
          <a:off x="485775" y="438150"/>
          <a:ext cx="298132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133FF8-1574-499F-87DE-51E2D1424487}"/>
            </a:ext>
          </a:extLst>
        </xdr:cNvPr>
        <xdr:cNvCxnSpPr/>
      </xdr:nvCxnSpPr>
      <xdr:spPr>
        <a:xfrm flipV="1">
          <a:off x="485775" y="4000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EE9C581-A3C5-4015-A49A-5242846828D7}"/>
            </a:ext>
          </a:extLst>
        </xdr:cNvPr>
        <xdr:cNvCxnSpPr/>
      </xdr:nvCxnSpPr>
      <xdr:spPr>
        <a:xfrm flipV="1">
          <a:off x="476250" y="428625"/>
          <a:ext cx="434647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4394100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5A8D75-2E15-4EEC-9729-6DA0428D3EAB}"/>
            </a:ext>
          </a:extLst>
        </xdr:cNvPr>
        <xdr:cNvCxnSpPr/>
      </xdr:nvCxnSpPr>
      <xdr:spPr>
        <a:xfrm flipV="1">
          <a:off x="495300" y="4381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K12" sqref="K12"/>
    </sheetView>
  </sheetViews>
  <sheetFormatPr defaultColWidth="9.109375" defaultRowHeight="13.2" x14ac:dyDescent="0.25"/>
  <cols>
    <col min="1" max="16384" width="9.10937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BD172"/>
  <sheetViews>
    <sheetView zoomScale="80" zoomScaleNormal="80" workbookViewId="0">
      <pane xSplit="2" topLeftCell="AH1" activePane="topRight" state="frozen"/>
      <selection pane="topRight" activeCell="AW165" sqref="AW165"/>
    </sheetView>
  </sheetViews>
  <sheetFormatPr defaultColWidth="9.109375" defaultRowHeight="13.2" outlineLevelRow="1" x14ac:dyDescent="0.25"/>
  <cols>
    <col min="1" max="1" width="6.5546875" style="1" customWidth="1"/>
    <col min="2" max="2" width="44.6640625" style="1" customWidth="1"/>
    <col min="3" max="16384" width="9.109375" style="1"/>
  </cols>
  <sheetData>
    <row r="1" spans="1:53" x14ac:dyDescent="0.25">
      <c r="A1" s="66"/>
    </row>
    <row r="2" spans="1:53" ht="24" customHeight="1" x14ac:dyDescent="0.25">
      <c r="A2" s="66"/>
      <c r="B2" s="125" t="s">
        <v>164</v>
      </c>
    </row>
    <row r="3" spans="1:53" ht="15.9" customHeight="1" x14ac:dyDescent="0.25">
      <c r="A3" s="103" t="s">
        <v>215</v>
      </c>
      <c r="B3" s="65" t="s">
        <v>168</v>
      </c>
    </row>
    <row r="4" spans="1:53" ht="15.9" customHeight="1" x14ac:dyDescent="0.25">
      <c r="A4" s="103" t="s">
        <v>215</v>
      </c>
      <c r="B4" s="65" t="s">
        <v>169</v>
      </c>
    </row>
    <row r="5" spans="1:53" x14ac:dyDescent="0.25">
      <c r="A5" s="66"/>
    </row>
    <row r="6" spans="1:53" outlineLevel="1" x14ac:dyDescent="0.25">
      <c r="A6" s="66"/>
      <c r="B6" s="21" t="s">
        <v>0</v>
      </c>
      <c r="C6" s="21" t="s">
        <v>1</v>
      </c>
      <c r="D6" s="21" t="s">
        <v>2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26</v>
      </c>
      <c r="Y6" s="21" t="s">
        <v>27</v>
      </c>
      <c r="Z6" s="21" t="s">
        <v>28</v>
      </c>
      <c r="AA6" s="21" t="s">
        <v>29</v>
      </c>
      <c r="AB6" s="21" t="s">
        <v>30</v>
      </c>
      <c r="AC6" s="21" t="s">
        <v>31</v>
      </c>
      <c r="AD6" s="21" t="s">
        <v>32</v>
      </c>
      <c r="AE6" s="21" t="s">
        <v>33</v>
      </c>
      <c r="AF6" s="21" t="s">
        <v>34</v>
      </c>
      <c r="AG6" s="21" t="s">
        <v>35</v>
      </c>
      <c r="AH6" s="21" t="s">
        <v>36</v>
      </c>
      <c r="AI6" s="21" t="s">
        <v>37</v>
      </c>
      <c r="AJ6" s="21" t="s">
        <v>38</v>
      </c>
      <c r="AK6" s="21" t="s">
        <v>39</v>
      </c>
      <c r="AL6" s="21" t="s">
        <v>40</v>
      </c>
      <c r="AM6" s="21" t="s">
        <v>41</v>
      </c>
      <c r="AN6" s="21" t="s">
        <v>171</v>
      </c>
      <c r="AO6" s="21" t="s">
        <v>173</v>
      </c>
      <c r="AP6" s="21" t="s">
        <v>174</v>
      </c>
      <c r="AQ6" s="21" t="s">
        <v>176</v>
      </c>
      <c r="AR6" s="21" t="s">
        <v>183</v>
      </c>
      <c r="AS6" s="21" t="s">
        <v>187</v>
      </c>
      <c r="AT6" s="21" t="s">
        <v>189</v>
      </c>
      <c r="AU6" s="21" t="s">
        <v>192</v>
      </c>
      <c r="AV6" s="21" t="s">
        <v>194</v>
      </c>
      <c r="AW6" s="21" t="s">
        <v>196</v>
      </c>
      <c r="AX6" s="21" t="s">
        <v>220</v>
      </c>
      <c r="AY6" s="21" t="s">
        <v>229</v>
      </c>
      <c r="AZ6" s="21" t="s">
        <v>233</v>
      </c>
      <c r="BA6" s="21" t="s">
        <v>244</v>
      </c>
    </row>
    <row r="7" spans="1:53" ht="14.1" customHeight="1" outlineLevel="1" x14ac:dyDescent="0.25">
      <c r="A7" s="66"/>
      <c r="B7" s="22" t="s">
        <v>203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</row>
    <row r="8" spans="1:53" ht="15" customHeight="1" outlineLevel="1" x14ac:dyDescent="0.25">
      <c r="A8" s="66"/>
      <c r="B8" s="6" t="s">
        <v>42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  <c r="AZ8" s="7">
        <v>1403.3501665471547</v>
      </c>
      <c r="BA8" s="7">
        <v>1635.2649989922677</v>
      </c>
    </row>
    <row r="9" spans="1:53" ht="15" customHeight="1" outlineLevel="1" x14ac:dyDescent="0.25">
      <c r="A9" s="66"/>
      <c r="B9" s="9" t="s">
        <v>3</v>
      </c>
      <c r="C9" s="40">
        <v>92</v>
      </c>
      <c r="D9" s="40">
        <v>75</v>
      </c>
      <c r="E9" s="40">
        <v>71</v>
      </c>
      <c r="F9" s="40">
        <v>60</v>
      </c>
      <c r="G9" s="40">
        <v>43</v>
      </c>
      <c r="H9" s="40">
        <v>34</v>
      </c>
      <c r="I9" s="40">
        <v>30</v>
      </c>
      <c r="J9" s="40">
        <v>41</v>
      </c>
      <c r="K9" s="40">
        <v>34</v>
      </c>
      <c r="L9" s="40">
        <v>36</v>
      </c>
      <c r="M9" s="40">
        <v>38</v>
      </c>
      <c r="N9" s="40">
        <v>78</v>
      </c>
      <c r="O9" s="40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13">
        <v>191.44550412683063</v>
      </c>
      <c r="AU9" s="1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3">
        <v>51.980410562879364</v>
      </c>
      <c r="BA9" s="3">
        <v>44.913985196876823</v>
      </c>
    </row>
    <row r="10" spans="1:53" ht="15" customHeight="1" outlineLevel="1" x14ac:dyDescent="0.25">
      <c r="A10" s="66"/>
      <c r="B10" s="12" t="s">
        <v>4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BA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13">
        <f t="shared" si="1"/>
        <v>1654.6322902296638</v>
      </c>
      <c r="AU10" s="1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3">
        <f t="shared" si="1"/>
        <v>1351.3697559842751</v>
      </c>
      <c r="BA10" s="3">
        <f t="shared" si="1"/>
        <v>1590.3510137953913</v>
      </c>
    </row>
    <row r="11" spans="1:53" ht="15" customHeight="1" outlineLevel="1" x14ac:dyDescent="0.25">
      <c r="A11" s="66"/>
      <c r="B11" s="14" t="s">
        <v>5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8">
        <v>531</v>
      </c>
      <c r="N11" s="28">
        <v>581</v>
      </c>
      <c r="O11" s="28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5">
        <v>1168.4163918841014</v>
      </c>
      <c r="AU11" s="15">
        <v>997.14742192940105</v>
      </c>
      <c r="AV11" s="86">
        <v>746.16047521756582</v>
      </c>
      <c r="AW11" s="86">
        <v>683.77791440652356</v>
      </c>
      <c r="AX11" s="3">
        <v>647.44553099999996</v>
      </c>
      <c r="AY11" s="3">
        <v>816.96547962556417</v>
      </c>
      <c r="AZ11" s="3">
        <v>590.47057847175734</v>
      </c>
      <c r="BA11" s="3">
        <v>475.30613737465671</v>
      </c>
    </row>
    <row r="12" spans="1:53" ht="15" customHeight="1" outlineLevel="1" x14ac:dyDescent="0.25">
      <c r="A12" s="66"/>
      <c r="B12" s="14" t="s">
        <v>6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8">
        <v>722</v>
      </c>
      <c r="N12" s="28">
        <v>697</v>
      </c>
      <c r="O12" s="28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5">
        <v>486.21589834556244</v>
      </c>
      <c r="AU12" s="15">
        <v>627.52118041248775</v>
      </c>
      <c r="AV12" s="86">
        <v>806.09684521865097</v>
      </c>
      <c r="AW12" s="86">
        <v>684.05258140278647</v>
      </c>
      <c r="AX12" s="3">
        <v>756.46738500000004</v>
      </c>
      <c r="AY12" s="3">
        <v>682.72140100000001</v>
      </c>
      <c r="AZ12" s="3">
        <v>760.89917751251778</v>
      </c>
      <c r="BA12" s="3">
        <v>1115.0448764207345</v>
      </c>
    </row>
    <row r="13" spans="1:53" ht="15" customHeight="1" outlineLevel="1" x14ac:dyDescent="0.25">
      <c r="A13" s="66"/>
      <c r="B13" s="14" t="s">
        <v>63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8">
        <v>743</v>
      </c>
      <c r="N13" s="28">
        <v>710</v>
      </c>
      <c r="O13" s="28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</row>
    <row r="14" spans="1:53" ht="15" customHeight="1" outlineLevel="1" x14ac:dyDescent="0.25">
      <c r="A14" s="66"/>
      <c r="B14" s="16" t="s">
        <v>137</v>
      </c>
      <c r="C14" s="20">
        <v>17</v>
      </c>
      <c r="D14" s="20">
        <v>16</v>
      </c>
      <c r="E14" s="20">
        <v>10</v>
      </c>
      <c r="F14" s="20">
        <v>12</v>
      </c>
      <c r="G14" s="20">
        <v>16</v>
      </c>
      <c r="H14" s="20">
        <v>14</v>
      </c>
      <c r="I14" s="20">
        <v>13</v>
      </c>
      <c r="J14" s="20">
        <v>10</v>
      </c>
      <c r="K14" s="20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</row>
    <row r="15" spans="1:53" ht="15" customHeight="1" outlineLevel="1" x14ac:dyDescent="0.25">
      <c r="A15" s="66"/>
      <c r="B15" s="18" t="s">
        <v>80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41"/>
    </row>
    <row r="16" spans="1:53" ht="15" customHeight="1" outlineLevel="1" x14ac:dyDescent="0.25">
      <c r="A16" s="66"/>
      <c r="B16" s="12" t="s">
        <v>43</v>
      </c>
      <c r="C16" s="28">
        <v>575</v>
      </c>
      <c r="D16" s="28">
        <v>597</v>
      </c>
      <c r="E16" s="28">
        <v>516</v>
      </c>
      <c r="F16" s="28">
        <v>466</v>
      </c>
      <c r="G16" s="28">
        <v>392</v>
      </c>
      <c r="H16" s="28">
        <v>396</v>
      </c>
      <c r="I16" s="28">
        <v>355</v>
      </c>
      <c r="J16" s="28">
        <v>315</v>
      </c>
      <c r="K16" s="28">
        <v>277</v>
      </c>
      <c r="L16" s="28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13">
        <v>448.86398846532006</v>
      </c>
      <c r="AU16" s="1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3">
        <v>339.00492941977473</v>
      </c>
      <c r="BA16" s="3">
        <v>300.74278521485036</v>
      </c>
    </row>
    <row r="17" spans="1:53" ht="15" customHeight="1" outlineLevel="1" x14ac:dyDescent="0.25">
      <c r="A17" s="66"/>
      <c r="B17" s="12" t="s">
        <v>44</v>
      </c>
      <c r="C17" s="28">
        <v>288</v>
      </c>
      <c r="D17" s="28">
        <v>286</v>
      </c>
      <c r="E17" s="28">
        <v>256</v>
      </c>
      <c r="F17" s="28">
        <v>241</v>
      </c>
      <c r="G17" s="28">
        <v>213</v>
      </c>
      <c r="H17" s="28">
        <v>191</v>
      </c>
      <c r="I17" s="28">
        <v>175</v>
      </c>
      <c r="J17" s="28">
        <v>155</v>
      </c>
      <c r="K17" s="28">
        <v>174</v>
      </c>
      <c r="L17" s="28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13">
        <v>675.6716231811979</v>
      </c>
      <c r="AU17" s="1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3">
        <v>371.04052614029644</v>
      </c>
      <c r="BA17" s="3">
        <v>296.04625726441668</v>
      </c>
    </row>
    <row r="18" spans="1:53" ht="15" customHeight="1" outlineLevel="1" x14ac:dyDescent="0.25">
      <c r="A18" s="66"/>
      <c r="B18" s="12" t="s">
        <v>45</v>
      </c>
      <c r="C18" s="28">
        <v>432</v>
      </c>
      <c r="D18" s="28">
        <v>379</v>
      </c>
      <c r="E18" s="28">
        <v>296</v>
      </c>
      <c r="F18" s="28">
        <v>655</v>
      </c>
      <c r="G18" s="28">
        <v>616</v>
      </c>
      <c r="H18" s="28">
        <v>551</v>
      </c>
      <c r="I18" s="28">
        <v>657</v>
      </c>
      <c r="J18" s="28">
        <v>699</v>
      </c>
      <c r="K18" s="28">
        <v>623</v>
      </c>
      <c r="L18" s="28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13">
        <v>496.72291507126914</v>
      </c>
      <c r="AU18" s="1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3">
        <v>651.70246856229028</v>
      </c>
      <c r="BA18" s="3">
        <v>750.18627897450574</v>
      </c>
    </row>
    <row r="19" spans="1:53" ht="15" customHeight="1" outlineLevel="1" x14ac:dyDescent="0.25">
      <c r="A19" s="66"/>
      <c r="B19" s="12" t="s">
        <v>46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8">
        <v>235</v>
      </c>
      <c r="K19" s="28">
        <v>235</v>
      </c>
      <c r="L19" s="28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13">
        <v>224.81926763870752</v>
      </c>
      <c r="AU19" s="1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3">
        <v>41.602242424793154</v>
      </c>
      <c r="BA19" s="3">
        <v>288.28967753849486</v>
      </c>
    </row>
    <row r="20" spans="1:53" ht="15" customHeight="1" outlineLevel="1" x14ac:dyDescent="0.25">
      <c r="A20" s="66"/>
      <c r="B20" s="12" t="s">
        <v>64</v>
      </c>
      <c r="C20" s="13">
        <v>0</v>
      </c>
      <c r="D20" s="13">
        <v>0</v>
      </c>
      <c r="E20" s="28">
        <v>7</v>
      </c>
      <c r="F20" s="28">
        <v>7</v>
      </c>
      <c r="G20" s="28">
        <v>6</v>
      </c>
      <c r="H20" s="28">
        <v>3</v>
      </c>
      <c r="I20" s="28">
        <v>4</v>
      </c>
      <c r="J20" s="28">
        <v>7</v>
      </c>
      <c r="K20" s="28">
        <v>7</v>
      </c>
      <c r="L20" s="28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</row>
    <row r="21" spans="1:53" ht="15" customHeight="1" outlineLevel="1" x14ac:dyDescent="0.25">
      <c r="A21" s="66"/>
      <c r="B21" s="12" t="s">
        <v>134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</row>
    <row r="22" spans="1:53" ht="15" customHeight="1" outlineLevel="1" x14ac:dyDescent="0.25">
      <c r="A22" s="66"/>
      <c r="B22" s="12" t="s">
        <v>136</v>
      </c>
      <c r="C22" s="28">
        <v>66</v>
      </c>
      <c r="D22" s="28">
        <v>55</v>
      </c>
      <c r="E22" s="28">
        <v>48</v>
      </c>
      <c r="F22" s="28">
        <v>40</v>
      </c>
      <c r="G22" s="28">
        <v>38</v>
      </c>
      <c r="H22" s="28">
        <v>21</v>
      </c>
      <c r="I22" s="28">
        <v>17</v>
      </c>
      <c r="J22" s="28">
        <v>25</v>
      </c>
      <c r="K22" s="28">
        <v>21</v>
      </c>
      <c r="L22" s="28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</row>
    <row r="23" spans="1:53" ht="15" customHeight="1" outlineLevel="1" x14ac:dyDescent="0.25">
      <c r="A23" s="66"/>
      <c r="B23" s="19" t="s">
        <v>135</v>
      </c>
      <c r="C23" s="30">
        <v>17</v>
      </c>
      <c r="D23" s="30">
        <v>16</v>
      </c>
      <c r="E23" s="30">
        <v>10</v>
      </c>
      <c r="F23" s="30">
        <v>12</v>
      </c>
      <c r="G23" s="30">
        <v>102</v>
      </c>
      <c r="H23" s="30">
        <v>97</v>
      </c>
      <c r="I23" s="30">
        <v>88</v>
      </c>
      <c r="J23" s="30">
        <v>84</v>
      </c>
      <c r="K23" s="30">
        <v>74</v>
      </c>
      <c r="L23" s="30">
        <v>56</v>
      </c>
      <c r="M23" s="20">
        <v>47</v>
      </c>
      <c r="N23" s="20">
        <v>37</v>
      </c>
      <c r="O23" s="20">
        <v>36</v>
      </c>
      <c r="P23" s="20">
        <v>26</v>
      </c>
      <c r="Q23" s="20">
        <v>18</v>
      </c>
      <c r="R23" s="20">
        <v>12</v>
      </c>
      <c r="S23" s="20">
        <v>7</v>
      </c>
      <c r="T23" s="20">
        <v>4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</row>
    <row r="24" spans="1:53" ht="14.1" customHeight="1" outlineLevel="1" x14ac:dyDescent="0.25">
      <c r="A24" s="66"/>
      <c r="B24" s="5" t="s">
        <v>198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</row>
    <row r="25" spans="1:53" ht="15" customHeight="1" outlineLevel="1" x14ac:dyDescent="0.25">
      <c r="A25" s="66"/>
      <c r="B25" s="23" t="s">
        <v>179</v>
      </c>
      <c r="C25" s="24">
        <f t="shared" ref="C25:AP25" si="2">+C27+C28+C30</f>
        <v>189.71299999999999</v>
      </c>
      <c r="D25" s="24">
        <f t="shared" si="2"/>
        <v>292.94099999999997</v>
      </c>
      <c r="E25" s="24">
        <f t="shared" si="2"/>
        <v>548.07899999999995</v>
      </c>
      <c r="F25" s="24">
        <f t="shared" si="2"/>
        <v>252.2</v>
      </c>
      <c r="G25" s="24">
        <f t="shared" si="2"/>
        <v>405.375</v>
      </c>
      <c r="H25" s="24">
        <f t="shared" si="2"/>
        <v>373.755</v>
      </c>
      <c r="I25" s="24">
        <f t="shared" si="2"/>
        <v>661.56600000000003</v>
      </c>
      <c r="J25" s="24">
        <f t="shared" si="2"/>
        <v>329.46</v>
      </c>
      <c r="K25" s="24">
        <f t="shared" si="2"/>
        <v>353.27499999999998</v>
      </c>
      <c r="L25" s="24">
        <f t="shared" si="2"/>
        <v>398.7</v>
      </c>
      <c r="M25" s="24">
        <f t="shared" si="2"/>
        <v>604.26</v>
      </c>
      <c r="N25" s="24">
        <f t="shared" si="2"/>
        <v>342.8</v>
      </c>
      <c r="O25" s="24">
        <f t="shared" si="2"/>
        <v>284.35000000000002</v>
      </c>
      <c r="P25" s="24">
        <f t="shared" si="2"/>
        <v>268.05099999999999</v>
      </c>
      <c r="Q25" s="24">
        <f t="shared" si="2"/>
        <v>592.15</v>
      </c>
      <c r="R25" s="24">
        <f t="shared" si="2"/>
        <v>382.875</v>
      </c>
      <c r="S25" s="24">
        <f t="shared" si="2"/>
        <v>267.25</v>
      </c>
      <c r="T25" s="24">
        <f t="shared" si="2"/>
        <v>386</v>
      </c>
      <c r="U25" s="24">
        <f t="shared" si="2"/>
        <v>582.25</v>
      </c>
      <c r="V25" s="24">
        <f t="shared" si="2"/>
        <v>324.77499999999998</v>
      </c>
      <c r="W25" s="24">
        <f t="shared" si="2"/>
        <v>293.57499999999999</v>
      </c>
      <c r="X25" s="24">
        <f t="shared" si="2"/>
        <v>434.15</v>
      </c>
      <c r="Y25" s="24">
        <f t="shared" si="2"/>
        <v>599.97199999999998</v>
      </c>
      <c r="Z25" s="24">
        <f t="shared" si="2"/>
        <v>350.27499999999998</v>
      </c>
      <c r="AA25" s="24">
        <f t="shared" si="2"/>
        <v>301.87200000000001</v>
      </c>
      <c r="AB25" s="24">
        <f t="shared" si="2"/>
        <v>455.495</v>
      </c>
      <c r="AC25" s="24">
        <f t="shared" si="2"/>
        <v>634.11500000000001</v>
      </c>
      <c r="AD25" s="24">
        <f t="shared" si="2"/>
        <v>375.09500000000003</v>
      </c>
      <c r="AE25" s="24">
        <f t="shared" si="2"/>
        <v>225.05</v>
      </c>
      <c r="AF25" s="24">
        <f t="shared" si="2"/>
        <v>272.7</v>
      </c>
      <c r="AG25" s="24">
        <f>+AG27+AG28+AG30</f>
        <v>757</v>
      </c>
      <c r="AH25" s="24">
        <f t="shared" si="2"/>
        <v>347.08</v>
      </c>
      <c r="AI25" s="24">
        <f t="shared" si="2"/>
        <v>243</v>
      </c>
      <c r="AJ25" s="24">
        <f t="shared" si="2"/>
        <v>403.15</v>
      </c>
      <c r="AK25" s="24">
        <f t="shared" si="2"/>
        <v>615</v>
      </c>
      <c r="AL25" s="24">
        <f t="shared" si="2"/>
        <v>464</v>
      </c>
      <c r="AM25" s="24">
        <f t="shared" si="2"/>
        <v>418</v>
      </c>
      <c r="AN25" s="24">
        <f t="shared" si="2"/>
        <v>450</v>
      </c>
      <c r="AO25" s="24">
        <f t="shared" si="2"/>
        <v>621</v>
      </c>
      <c r="AP25" s="24">
        <f t="shared" si="2"/>
        <v>460</v>
      </c>
      <c r="AQ25" s="24">
        <f>+AQ27+AQ28+AQ30</f>
        <v>351</v>
      </c>
      <c r="AR25" s="24">
        <f>+AR27+AR28+AR30</f>
        <v>404</v>
      </c>
      <c r="AS25" s="24">
        <f t="shared" ref="AS25:BA25" si="3">+AS27+AS28+AS30+AS29</f>
        <v>755</v>
      </c>
      <c r="AT25" s="24">
        <f t="shared" si="3"/>
        <v>529</v>
      </c>
      <c r="AU25" s="24">
        <f t="shared" si="3"/>
        <v>350</v>
      </c>
      <c r="AV25" s="24">
        <f t="shared" si="3"/>
        <v>500</v>
      </c>
      <c r="AW25" s="24">
        <f t="shared" si="3"/>
        <v>706</v>
      </c>
      <c r="AX25" s="24">
        <f t="shared" si="3"/>
        <v>381</v>
      </c>
      <c r="AY25" s="24">
        <f t="shared" si="3"/>
        <v>553</v>
      </c>
      <c r="AZ25" s="24">
        <f t="shared" si="3"/>
        <v>540</v>
      </c>
      <c r="BA25" s="24">
        <f t="shared" si="3"/>
        <v>618</v>
      </c>
    </row>
    <row r="26" spans="1:53" ht="15" customHeight="1" outlineLevel="1" x14ac:dyDescent="0.25">
      <c r="A26" s="66"/>
      <c r="B26" s="69" t="s">
        <v>180</v>
      </c>
      <c r="C26" s="71">
        <f t="shared" ref="C26:AP26" si="4">+C27+C28</f>
        <v>184</v>
      </c>
      <c r="D26" s="71">
        <f t="shared" si="4"/>
        <v>291</v>
      </c>
      <c r="E26" s="71">
        <f t="shared" si="4"/>
        <v>545</v>
      </c>
      <c r="F26" s="71">
        <f t="shared" si="4"/>
        <v>252</v>
      </c>
      <c r="G26" s="71">
        <f t="shared" si="4"/>
        <v>405</v>
      </c>
      <c r="H26" s="71">
        <f t="shared" si="4"/>
        <v>371</v>
      </c>
      <c r="I26" s="71">
        <f t="shared" si="4"/>
        <v>646</v>
      </c>
      <c r="J26" s="71">
        <f t="shared" si="4"/>
        <v>321</v>
      </c>
      <c r="K26" s="71">
        <f t="shared" si="4"/>
        <v>343</v>
      </c>
      <c r="L26" s="71">
        <f t="shared" si="4"/>
        <v>397</v>
      </c>
      <c r="M26" s="71">
        <f t="shared" si="4"/>
        <v>589</v>
      </c>
      <c r="N26" s="71">
        <f t="shared" si="4"/>
        <v>332</v>
      </c>
      <c r="O26" s="71">
        <f t="shared" si="4"/>
        <v>284</v>
      </c>
      <c r="P26" s="71">
        <f t="shared" si="4"/>
        <v>267</v>
      </c>
      <c r="Q26" s="71">
        <f t="shared" si="4"/>
        <v>592</v>
      </c>
      <c r="R26" s="71">
        <f t="shared" si="4"/>
        <v>367</v>
      </c>
      <c r="S26" s="71">
        <f t="shared" si="4"/>
        <v>267</v>
      </c>
      <c r="T26" s="71">
        <f t="shared" si="4"/>
        <v>386</v>
      </c>
      <c r="U26" s="71">
        <f t="shared" si="4"/>
        <v>582</v>
      </c>
      <c r="V26" s="71">
        <f t="shared" si="4"/>
        <v>315</v>
      </c>
      <c r="W26" s="71">
        <f t="shared" si="4"/>
        <v>285</v>
      </c>
      <c r="X26" s="71">
        <f t="shared" si="4"/>
        <v>432</v>
      </c>
      <c r="Y26" s="71">
        <f t="shared" si="4"/>
        <v>588</v>
      </c>
      <c r="Z26" s="71">
        <f t="shared" si="4"/>
        <v>347</v>
      </c>
      <c r="AA26" s="71">
        <f t="shared" si="4"/>
        <v>296</v>
      </c>
      <c r="AB26" s="71">
        <f t="shared" si="4"/>
        <v>453</v>
      </c>
      <c r="AC26" s="71">
        <f t="shared" si="4"/>
        <v>634</v>
      </c>
      <c r="AD26" s="71">
        <f t="shared" si="4"/>
        <v>375</v>
      </c>
      <c r="AE26" s="71">
        <f t="shared" si="4"/>
        <v>220</v>
      </c>
      <c r="AF26" s="71">
        <f t="shared" si="4"/>
        <v>270</v>
      </c>
      <c r="AG26" s="71">
        <f t="shared" si="4"/>
        <v>757</v>
      </c>
      <c r="AH26" s="71">
        <f t="shared" si="4"/>
        <v>347</v>
      </c>
      <c r="AI26" s="71">
        <f t="shared" si="4"/>
        <v>243</v>
      </c>
      <c r="AJ26" s="71">
        <f t="shared" si="4"/>
        <v>402</v>
      </c>
      <c r="AK26" s="71">
        <f t="shared" si="4"/>
        <v>564</v>
      </c>
      <c r="AL26" s="71">
        <f t="shared" si="4"/>
        <v>385</v>
      </c>
      <c r="AM26" s="71">
        <f t="shared" si="4"/>
        <v>319</v>
      </c>
      <c r="AN26" s="71">
        <f t="shared" si="4"/>
        <v>405</v>
      </c>
      <c r="AO26" s="71">
        <f t="shared" si="4"/>
        <v>588</v>
      </c>
      <c r="AP26" s="71">
        <f t="shared" si="4"/>
        <v>390</v>
      </c>
      <c r="AQ26" s="71">
        <f>+AQ27+AQ28</f>
        <v>220</v>
      </c>
      <c r="AR26" s="71">
        <f>+AR27+AR28</f>
        <v>283</v>
      </c>
      <c r="AS26" s="71">
        <f>+AS27+AS28</f>
        <v>653</v>
      </c>
      <c r="AT26" s="71">
        <f>+AT27+AT28</f>
        <v>449</v>
      </c>
      <c r="AU26" s="71">
        <f>+AU27+AU28</f>
        <v>233</v>
      </c>
      <c r="AV26" s="87">
        <f t="shared" ref="AV26:BA26" si="5">+AV27+AV28</f>
        <v>415</v>
      </c>
      <c r="AW26" s="87">
        <f t="shared" si="5"/>
        <v>602</v>
      </c>
      <c r="AX26" s="87">
        <f t="shared" si="5"/>
        <v>310</v>
      </c>
      <c r="AY26" s="87">
        <f t="shared" si="5"/>
        <v>352</v>
      </c>
      <c r="AZ26" s="87">
        <f t="shared" si="5"/>
        <v>403</v>
      </c>
      <c r="BA26" s="87">
        <f t="shared" si="5"/>
        <v>533</v>
      </c>
    </row>
    <row r="27" spans="1:53" ht="15" customHeight="1" outlineLevel="1" x14ac:dyDescent="0.25">
      <c r="A27" s="66"/>
      <c r="B27" s="25" t="s">
        <v>47</v>
      </c>
      <c r="C27" s="28">
        <v>175</v>
      </c>
      <c r="D27" s="28">
        <v>281</v>
      </c>
      <c r="E27" s="28">
        <v>503</v>
      </c>
      <c r="F27" s="28">
        <v>235</v>
      </c>
      <c r="G27" s="28">
        <v>388</v>
      </c>
      <c r="H27" s="28">
        <v>367</v>
      </c>
      <c r="I27" s="28">
        <v>563</v>
      </c>
      <c r="J27" s="28">
        <v>305</v>
      </c>
      <c r="K27" s="28">
        <v>325</v>
      </c>
      <c r="L27" s="28">
        <v>378</v>
      </c>
      <c r="M27" s="28">
        <v>563</v>
      </c>
      <c r="N27" s="28">
        <v>325</v>
      </c>
      <c r="O27" s="28">
        <v>262</v>
      </c>
      <c r="P27" s="28">
        <v>258</v>
      </c>
      <c r="Q27" s="28">
        <v>571</v>
      </c>
      <c r="R27" s="28">
        <v>351</v>
      </c>
      <c r="S27" s="28">
        <v>243</v>
      </c>
      <c r="T27" s="28">
        <v>376</v>
      </c>
      <c r="U27" s="28">
        <v>550</v>
      </c>
      <c r="V27" s="28">
        <v>307</v>
      </c>
      <c r="W27" s="28">
        <v>248</v>
      </c>
      <c r="X27" s="28">
        <v>418</v>
      </c>
      <c r="Y27" s="28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2">
        <v>391</v>
      </c>
      <c r="AO27" s="62">
        <v>488</v>
      </c>
      <c r="AP27" s="62">
        <v>335</v>
      </c>
      <c r="AQ27" s="62">
        <v>196</v>
      </c>
      <c r="AR27" s="62">
        <v>254</v>
      </c>
      <c r="AS27" s="62">
        <v>527</v>
      </c>
      <c r="AT27" s="62">
        <v>390</v>
      </c>
      <c r="AU27" s="62">
        <v>231</v>
      </c>
      <c r="AV27" s="62">
        <v>375</v>
      </c>
      <c r="AW27" s="62">
        <v>537</v>
      </c>
      <c r="AX27" s="62">
        <v>303</v>
      </c>
      <c r="AY27" s="62">
        <v>313</v>
      </c>
      <c r="AZ27" s="62">
        <v>345</v>
      </c>
      <c r="BA27" s="62">
        <v>484</v>
      </c>
    </row>
    <row r="28" spans="1:53" ht="15" customHeight="1" outlineLevel="1" x14ac:dyDescent="0.25">
      <c r="A28" s="66"/>
      <c r="B28" s="25" t="s">
        <v>48</v>
      </c>
      <c r="C28" s="28">
        <v>9</v>
      </c>
      <c r="D28" s="28">
        <v>10</v>
      </c>
      <c r="E28" s="28">
        <v>42</v>
      </c>
      <c r="F28" s="28">
        <v>17</v>
      </c>
      <c r="G28" s="28">
        <v>17</v>
      </c>
      <c r="H28" s="28">
        <v>4</v>
      </c>
      <c r="I28" s="28">
        <v>83</v>
      </c>
      <c r="J28" s="28">
        <v>16</v>
      </c>
      <c r="K28" s="28">
        <v>18</v>
      </c>
      <c r="L28" s="28">
        <v>19</v>
      </c>
      <c r="M28" s="28">
        <v>26</v>
      </c>
      <c r="N28" s="28">
        <v>7</v>
      </c>
      <c r="O28" s="28">
        <v>22</v>
      </c>
      <c r="P28" s="28">
        <v>9</v>
      </c>
      <c r="Q28" s="28">
        <v>21</v>
      </c>
      <c r="R28" s="28">
        <v>16</v>
      </c>
      <c r="S28" s="28">
        <v>24</v>
      </c>
      <c r="T28" s="28">
        <v>10</v>
      </c>
      <c r="U28" s="28">
        <v>32</v>
      </c>
      <c r="V28" s="28">
        <v>8</v>
      </c>
      <c r="W28" s="28">
        <v>37</v>
      </c>
      <c r="X28" s="28">
        <v>14</v>
      </c>
      <c r="Y28" s="28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13">
        <v>29</v>
      </c>
      <c r="AS28" s="13">
        <v>126</v>
      </c>
      <c r="AT28" s="13">
        <v>59</v>
      </c>
      <c r="AU28" s="13">
        <v>2</v>
      </c>
      <c r="AV28" s="62">
        <v>40</v>
      </c>
      <c r="AW28" s="62">
        <v>65</v>
      </c>
      <c r="AX28" s="62">
        <v>7</v>
      </c>
      <c r="AY28" s="62">
        <v>39</v>
      </c>
      <c r="AZ28" s="62">
        <v>58</v>
      </c>
      <c r="BA28" s="62">
        <v>49</v>
      </c>
    </row>
    <row r="29" spans="1:53" ht="15" customHeight="1" outlineLevel="1" x14ac:dyDescent="0.25">
      <c r="A29" s="66"/>
      <c r="B29" s="25" t="s">
        <v>216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>
        <v>8</v>
      </c>
      <c r="AT29" s="13">
        <v>11</v>
      </c>
      <c r="AU29" s="13">
        <v>7</v>
      </c>
      <c r="AV29" s="62">
        <v>15</v>
      </c>
      <c r="AW29" s="62">
        <v>18</v>
      </c>
      <c r="AX29" s="62">
        <v>11</v>
      </c>
      <c r="AY29" s="62">
        <v>14</v>
      </c>
      <c r="AZ29" s="62">
        <v>15</v>
      </c>
      <c r="BA29" s="62">
        <v>30</v>
      </c>
    </row>
    <row r="30" spans="1:53" ht="15" customHeight="1" outlineLevel="1" x14ac:dyDescent="0.25">
      <c r="A30" s="66"/>
      <c r="B30" s="70" t="s">
        <v>178</v>
      </c>
      <c r="C30" s="72">
        <v>5.7130000000000001</v>
      </c>
      <c r="D30" s="72">
        <v>1.9410000000000001</v>
      </c>
      <c r="E30" s="72">
        <v>3.0790000000000002</v>
      </c>
      <c r="F30" s="72">
        <v>0.2</v>
      </c>
      <c r="G30" s="72">
        <v>0.375</v>
      </c>
      <c r="H30" s="72">
        <v>2.7549999999999999</v>
      </c>
      <c r="I30" s="72">
        <v>15.566000000000001</v>
      </c>
      <c r="J30" s="72">
        <v>8.4600000000000009</v>
      </c>
      <c r="K30" s="72">
        <v>10.275</v>
      </c>
      <c r="L30" s="72">
        <v>1.7</v>
      </c>
      <c r="M30" s="72">
        <v>15.26</v>
      </c>
      <c r="N30" s="72">
        <v>10.8</v>
      </c>
      <c r="O30" s="72">
        <v>0.35</v>
      </c>
      <c r="P30" s="72">
        <v>1.0509999999999999</v>
      </c>
      <c r="Q30" s="72">
        <v>0.15</v>
      </c>
      <c r="R30" s="72">
        <v>15.875</v>
      </c>
      <c r="S30" s="72">
        <v>0.25</v>
      </c>
      <c r="T30" s="72">
        <v>0</v>
      </c>
      <c r="U30" s="72">
        <v>0.25</v>
      </c>
      <c r="V30" s="72">
        <v>9.7750000000000004</v>
      </c>
      <c r="W30" s="72">
        <v>8.5749999999999993</v>
      </c>
      <c r="X30" s="72">
        <v>2.15</v>
      </c>
      <c r="Y30" s="72">
        <v>11.972</v>
      </c>
      <c r="Z30" s="20">
        <v>3.2749999999999999</v>
      </c>
      <c r="AA30" s="20">
        <v>5.8719999999999999</v>
      </c>
      <c r="AB30" s="20">
        <v>2.4950000000000001</v>
      </c>
      <c r="AC30" s="20">
        <v>0.115</v>
      </c>
      <c r="AD30" s="20">
        <v>9.5000000000000001E-2</v>
      </c>
      <c r="AE30" s="20">
        <v>5.05</v>
      </c>
      <c r="AF30" s="20">
        <v>2.7</v>
      </c>
      <c r="AG30" s="20">
        <v>0</v>
      </c>
      <c r="AH30" s="20">
        <v>0.08</v>
      </c>
      <c r="AI30" s="20">
        <v>0</v>
      </c>
      <c r="AJ30" s="20">
        <v>1.1499999999999999</v>
      </c>
      <c r="AK30" s="20">
        <v>51</v>
      </c>
      <c r="AL30" s="20">
        <v>79</v>
      </c>
      <c r="AM30" s="20">
        <v>99</v>
      </c>
      <c r="AN30" s="20">
        <v>45</v>
      </c>
      <c r="AO30" s="20">
        <v>33</v>
      </c>
      <c r="AP30" s="20">
        <v>70</v>
      </c>
      <c r="AQ30" s="20">
        <v>131</v>
      </c>
      <c r="AR30" s="20">
        <v>121</v>
      </c>
      <c r="AS30" s="20">
        <v>94</v>
      </c>
      <c r="AT30" s="20">
        <v>69</v>
      </c>
      <c r="AU30" s="20">
        <v>110</v>
      </c>
      <c r="AV30" s="20">
        <v>70</v>
      </c>
      <c r="AW30" s="20">
        <v>86</v>
      </c>
      <c r="AX30" s="20">
        <v>60</v>
      </c>
      <c r="AY30" s="20">
        <v>187</v>
      </c>
      <c r="AZ30" s="20">
        <v>122</v>
      </c>
      <c r="BA30" s="20">
        <v>55</v>
      </c>
    </row>
    <row r="31" spans="1:53" ht="15" customHeight="1" outlineLevel="1" x14ac:dyDescent="0.25">
      <c r="A31" s="66"/>
      <c r="B31" s="42" t="s">
        <v>181</v>
      </c>
      <c r="C31" s="90">
        <f t="shared" ref="C31:AX31" si="6">C37+C40+C43</f>
        <v>181</v>
      </c>
      <c r="D31" s="90">
        <f t="shared" si="6"/>
        <v>288</v>
      </c>
      <c r="E31" s="90">
        <f t="shared" si="6"/>
        <v>543</v>
      </c>
      <c r="F31" s="90">
        <f t="shared" si="6"/>
        <v>251</v>
      </c>
      <c r="G31" s="90">
        <f t="shared" si="6"/>
        <v>402</v>
      </c>
      <c r="H31" s="90">
        <f t="shared" si="6"/>
        <v>367</v>
      </c>
      <c r="I31" s="90">
        <f t="shared" si="6"/>
        <v>643</v>
      </c>
      <c r="J31" s="90">
        <f t="shared" si="6"/>
        <v>321</v>
      </c>
      <c r="K31" s="90">
        <f t="shared" si="6"/>
        <v>343</v>
      </c>
      <c r="L31" s="90">
        <f t="shared" si="6"/>
        <v>396</v>
      </c>
      <c r="M31" s="90">
        <f t="shared" si="6"/>
        <v>587</v>
      </c>
      <c r="N31" s="90">
        <f t="shared" si="6"/>
        <v>332</v>
      </c>
      <c r="O31" s="90">
        <f t="shared" si="6"/>
        <v>283</v>
      </c>
      <c r="P31" s="90">
        <f t="shared" si="6"/>
        <v>266</v>
      </c>
      <c r="Q31" s="90">
        <f t="shared" si="6"/>
        <v>591</v>
      </c>
      <c r="R31" s="90">
        <f t="shared" si="6"/>
        <v>367</v>
      </c>
      <c r="S31" s="90">
        <f t="shared" si="6"/>
        <v>266</v>
      </c>
      <c r="T31" s="90">
        <f t="shared" si="6"/>
        <v>385</v>
      </c>
      <c r="U31" s="90">
        <f t="shared" si="6"/>
        <v>580</v>
      </c>
      <c r="V31" s="90">
        <f t="shared" si="6"/>
        <v>315</v>
      </c>
      <c r="W31" s="90">
        <f t="shared" si="6"/>
        <v>283</v>
      </c>
      <c r="X31" s="90">
        <f t="shared" si="6"/>
        <v>431</v>
      </c>
      <c r="Y31" s="90">
        <f t="shared" si="6"/>
        <v>588</v>
      </c>
      <c r="Z31" s="90">
        <f t="shared" si="6"/>
        <v>347</v>
      </c>
      <c r="AA31" s="90">
        <f t="shared" si="6"/>
        <v>296</v>
      </c>
      <c r="AB31" s="90">
        <f t="shared" si="6"/>
        <v>453</v>
      </c>
      <c r="AC31" s="90">
        <f t="shared" si="6"/>
        <v>634</v>
      </c>
      <c r="AD31" s="90">
        <f t="shared" si="6"/>
        <v>375</v>
      </c>
      <c r="AE31" s="90">
        <f t="shared" si="6"/>
        <v>220</v>
      </c>
      <c r="AF31" s="90">
        <f t="shared" si="6"/>
        <v>270</v>
      </c>
      <c r="AG31" s="90">
        <f t="shared" si="6"/>
        <v>757</v>
      </c>
      <c r="AH31" s="90">
        <f t="shared" si="6"/>
        <v>347</v>
      </c>
      <c r="AI31" s="90">
        <f t="shared" si="6"/>
        <v>242</v>
      </c>
      <c r="AJ31" s="90">
        <f t="shared" si="6"/>
        <v>401</v>
      </c>
      <c r="AK31" s="90">
        <f t="shared" si="6"/>
        <v>563</v>
      </c>
      <c r="AL31" s="90">
        <f t="shared" si="6"/>
        <v>384</v>
      </c>
      <c r="AM31" s="90">
        <f t="shared" si="6"/>
        <v>320</v>
      </c>
      <c r="AN31" s="90">
        <f t="shared" si="6"/>
        <v>406</v>
      </c>
      <c r="AO31" s="90">
        <f t="shared" si="6"/>
        <v>568.13799999999992</v>
      </c>
      <c r="AP31" s="90">
        <f t="shared" si="6"/>
        <v>389</v>
      </c>
      <c r="AQ31" s="90">
        <f t="shared" si="6"/>
        <v>220</v>
      </c>
      <c r="AR31" s="90">
        <f t="shared" si="6"/>
        <v>284</v>
      </c>
      <c r="AS31" s="90">
        <f t="shared" si="6"/>
        <v>660</v>
      </c>
      <c r="AT31" s="90">
        <f t="shared" si="6"/>
        <v>462</v>
      </c>
      <c r="AU31" s="90">
        <f t="shared" si="6"/>
        <v>241</v>
      </c>
      <c r="AV31" s="90">
        <f t="shared" si="6"/>
        <v>432</v>
      </c>
      <c r="AW31" s="90">
        <f t="shared" si="6"/>
        <v>619</v>
      </c>
      <c r="AX31" s="90">
        <f t="shared" si="6"/>
        <v>320</v>
      </c>
      <c r="AY31" s="90">
        <f>AY37+AY40+AY43</f>
        <v>366</v>
      </c>
      <c r="AZ31" s="90">
        <f>AZ37+AZ40+AZ43</f>
        <v>418</v>
      </c>
      <c r="BA31" s="90">
        <f>BA37+BA40+BA43</f>
        <v>563</v>
      </c>
    </row>
    <row r="32" spans="1:53" ht="15" customHeight="1" outlineLevel="1" x14ac:dyDescent="0.25">
      <c r="A32" s="66"/>
      <c r="B32" s="60" t="s">
        <v>51</v>
      </c>
      <c r="C32" s="28">
        <v>16</v>
      </c>
      <c r="D32" s="28">
        <v>38</v>
      </c>
      <c r="E32" s="28">
        <v>210</v>
      </c>
      <c r="F32" s="28">
        <v>42</v>
      </c>
      <c r="G32" s="28">
        <v>13</v>
      </c>
      <c r="H32" s="28">
        <v>69</v>
      </c>
      <c r="I32" s="28">
        <v>191</v>
      </c>
      <c r="J32" s="28">
        <v>46</v>
      </c>
      <c r="K32" s="28">
        <v>16</v>
      </c>
      <c r="L32" s="28">
        <v>50</v>
      </c>
      <c r="M32" s="28">
        <v>210</v>
      </c>
      <c r="N32" s="28">
        <v>66</v>
      </c>
      <c r="O32" s="28">
        <v>17</v>
      </c>
      <c r="P32" s="28">
        <v>8</v>
      </c>
      <c r="Q32" s="28">
        <v>208</v>
      </c>
      <c r="R32" s="28">
        <v>73</v>
      </c>
      <c r="S32" s="28">
        <v>8</v>
      </c>
      <c r="T32" s="28">
        <v>48</v>
      </c>
      <c r="U32" s="28">
        <v>172</v>
      </c>
      <c r="V32" s="28">
        <v>52</v>
      </c>
      <c r="W32" s="28">
        <v>12</v>
      </c>
      <c r="X32" s="28">
        <v>51</v>
      </c>
      <c r="Y32" s="28">
        <v>166</v>
      </c>
      <c r="Z32" s="28">
        <v>33</v>
      </c>
      <c r="AA32" s="13">
        <v>17</v>
      </c>
      <c r="AB32" s="13">
        <v>37</v>
      </c>
      <c r="AC32" s="13">
        <v>159</v>
      </c>
      <c r="AD32" s="13">
        <v>43</v>
      </c>
      <c r="AE32" s="13">
        <v>13</v>
      </c>
      <c r="AF32" s="13">
        <v>2</v>
      </c>
      <c r="AG32" s="13">
        <v>182</v>
      </c>
      <c r="AH32" s="13">
        <v>30</v>
      </c>
      <c r="AI32" s="13">
        <v>0</v>
      </c>
      <c r="AJ32" s="13">
        <v>0</v>
      </c>
      <c r="AK32" s="13">
        <v>139</v>
      </c>
      <c r="AL32" s="13">
        <v>97</v>
      </c>
      <c r="AM32" s="13">
        <v>24</v>
      </c>
      <c r="AN32" s="13">
        <v>55</v>
      </c>
      <c r="AO32" s="73">
        <v>154</v>
      </c>
      <c r="AP32" s="13">
        <v>83</v>
      </c>
      <c r="AQ32" s="73">
        <v>24</v>
      </c>
      <c r="AR32" s="73">
        <v>26</v>
      </c>
      <c r="AS32" s="73">
        <v>206</v>
      </c>
      <c r="AT32" s="73">
        <v>104</v>
      </c>
      <c r="AU32" s="73">
        <v>16</v>
      </c>
      <c r="AV32" s="62">
        <v>35</v>
      </c>
      <c r="AW32" s="62">
        <v>155</v>
      </c>
      <c r="AX32" s="62">
        <v>57</v>
      </c>
      <c r="AY32" s="62"/>
      <c r="AZ32" s="62"/>
      <c r="BA32" s="62"/>
    </row>
    <row r="33" spans="1:53" ht="15" customHeight="1" outlineLevel="1" x14ac:dyDescent="0.25">
      <c r="A33" s="66"/>
      <c r="B33" s="60" t="s">
        <v>52</v>
      </c>
      <c r="C33" s="28">
        <v>26</v>
      </c>
      <c r="D33" s="28">
        <v>28</v>
      </c>
      <c r="E33" s="28">
        <v>150</v>
      </c>
      <c r="F33" s="28">
        <v>41</v>
      </c>
      <c r="G33" s="28">
        <v>42</v>
      </c>
      <c r="H33" s="28">
        <v>49</v>
      </c>
      <c r="I33" s="28">
        <v>129</v>
      </c>
      <c r="J33" s="28">
        <v>81</v>
      </c>
      <c r="K33" s="28">
        <v>22</v>
      </c>
      <c r="L33" s="28">
        <v>34</v>
      </c>
      <c r="M33" s="28">
        <v>135</v>
      </c>
      <c r="N33" s="28">
        <v>94</v>
      </c>
      <c r="O33" s="28">
        <v>26</v>
      </c>
      <c r="P33" s="28">
        <v>11</v>
      </c>
      <c r="Q33" s="28">
        <v>160</v>
      </c>
      <c r="R33" s="28">
        <v>117</v>
      </c>
      <c r="S33" s="28">
        <v>26</v>
      </c>
      <c r="T33" s="28">
        <v>43</v>
      </c>
      <c r="U33" s="28">
        <v>148</v>
      </c>
      <c r="V33" s="28">
        <v>98</v>
      </c>
      <c r="W33" s="28">
        <v>37</v>
      </c>
      <c r="X33" s="28">
        <v>54</v>
      </c>
      <c r="Y33" s="28">
        <v>146</v>
      </c>
      <c r="Z33" s="28">
        <v>110</v>
      </c>
      <c r="AA33" s="13">
        <v>44</v>
      </c>
      <c r="AB33" s="13">
        <v>39</v>
      </c>
      <c r="AC33" s="13">
        <v>185</v>
      </c>
      <c r="AD33" s="13">
        <v>97</v>
      </c>
      <c r="AE33" s="13">
        <v>34</v>
      </c>
      <c r="AF33" s="13">
        <v>5</v>
      </c>
      <c r="AG33" s="13">
        <v>210</v>
      </c>
      <c r="AH33" s="13">
        <v>88</v>
      </c>
      <c r="AI33" s="13">
        <v>0</v>
      </c>
      <c r="AJ33" s="13">
        <v>0</v>
      </c>
      <c r="AK33" s="13">
        <v>0</v>
      </c>
      <c r="AL33" s="13">
        <v>4</v>
      </c>
      <c r="AM33" s="13">
        <v>1</v>
      </c>
      <c r="AN33" s="13">
        <v>0</v>
      </c>
      <c r="AO33" s="73">
        <v>0</v>
      </c>
      <c r="AP33" s="13">
        <v>0</v>
      </c>
      <c r="AQ33" s="73">
        <v>0</v>
      </c>
      <c r="AR33" s="73">
        <v>0</v>
      </c>
      <c r="AS33" s="73">
        <v>0</v>
      </c>
      <c r="AT33" s="73">
        <v>51</v>
      </c>
      <c r="AU33" s="73">
        <v>0</v>
      </c>
      <c r="AV33" s="88">
        <v>0</v>
      </c>
      <c r="AW33" s="88">
        <v>0</v>
      </c>
      <c r="AX33" s="62">
        <v>0</v>
      </c>
      <c r="AY33" s="62"/>
      <c r="AZ33" s="62"/>
      <c r="BA33" s="62"/>
    </row>
    <row r="34" spans="1:53" ht="15" customHeight="1" outlineLevel="1" x14ac:dyDescent="0.25">
      <c r="A34" s="66"/>
      <c r="B34" s="60" t="s">
        <v>53</v>
      </c>
      <c r="C34" s="28">
        <v>8</v>
      </c>
      <c r="D34" s="28">
        <v>3</v>
      </c>
      <c r="E34" s="28">
        <v>27</v>
      </c>
      <c r="F34" s="28">
        <v>11</v>
      </c>
      <c r="G34" s="28">
        <v>12</v>
      </c>
      <c r="H34" s="28">
        <v>21</v>
      </c>
      <c r="I34" s="28">
        <v>31</v>
      </c>
      <c r="J34" s="28">
        <v>27</v>
      </c>
      <c r="K34" s="28">
        <v>11</v>
      </c>
      <c r="L34" s="28">
        <v>12</v>
      </c>
      <c r="M34" s="28">
        <v>24</v>
      </c>
      <c r="N34" s="28">
        <v>26</v>
      </c>
      <c r="O34" s="28">
        <v>7</v>
      </c>
      <c r="P34" s="28">
        <v>4</v>
      </c>
      <c r="Q34" s="28">
        <v>28</v>
      </c>
      <c r="R34" s="28">
        <v>16</v>
      </c>
      <c r="S34" s="28">
        <v>5</v>
      </c>
      <c r="T34" s="28">
        <v>5</v>
      </c>
      <c r="U34" s="28">
        <v>22</v>
      </c>
      <c r="V34" s="28">
        <v>17</v>
      </c>
      <c r="W34" s="28">
        <v>6</v>
      </c>
      <c r="X34" s="28">
        <v>8</v>
      </c>
      <c r="Y34" s="28">
        <v>26</v>
      </c>
      <c r="Z34" s="28">
        <v>25</v>
      </c>
      <c r="AA34" s="13">
        <v>11</v>
      </c>
      <c r="AB34" s="13">
        <v>5</v>
      </c>
      <c r="AC34" s="13">
        <v>24</v>
      </c>
      <c r="AD34" s="13">
        <v>26</v>
      </c>
      <c r="AE34" s="13">
        <v>0</v>
      </c>
      <c r="AF34" s="13">
        <v>3</v>
      </c>
      <c r="AG34" s="13">
        <v>20</v>
      </c>
      <c r="AH34" s="13">
        <v>24</v>
      </c>
      <c r="AI34" s="13">
        <v>5</v>
      </c>
      <c r="AJ34" s="13">
        <v>14</v>
      </c>
      <c r="AK34" s="13">
        <v>39</v>
      </c>
      <c r="AL34" s="13">
        <v>48</v>
      </c>
      <c r="AM34" s="13">
        <v>14</v>
      </c>
      <c r="AN34" s="13">
        <v>10</v>
      </c>
      <c r="AO34" s="73">
        <v>34</v>
      </c>
      <c r="AP34" s="13">
        <v>39</v>
      </c>
      <c r="AQ34" s="73">
        <v>16</v>
      </c>
      <c r="AR34" s="73">
        <v>6</v>
      </c>
      <c r="AS34" s="73">
        <v>40</v>
      </c>
      <c r="AT34" s="73">
        <v>100</v>
      </c>
      <c r="AU34" s="73">
        <v>12</v>
      </c>
      <c r="AV34" s="62">
        <v>6</v>
      </c>
      <c r="AW34" s="62">
        <v>34</v>
      </c>
      <c r="AX34" s="62">
        <v>25</v>
      </c>
      <c r="AY34" s="62"/>
      <c r="AZ34" s="62"/>
      <c r="BA34" s="62"/>
    </row>
    <row r="35" spans="1:53" ht="15" customHeight="1" outlineLevel="1" x14ac:dyDescent="0.25">
      <c r="A35" s="66"/>
      <c r="B35" s="60" t="s">
        <v>54</v>
      </c>
      <c r="C35" s="28">
        <v>15</v>
      </c>
      <c r="D35" s="28">
        <v>27</v>
      </c>
      <c r="E35" s="28">
        <v>59</v>
      </c>
      <c r="F35" s="28">
        <v>36</v>
      </c>
      <c r="G35" s="28">
        <v>21</v>
      </c>
      <c r="H35" s="28">
        <v>34</v>
      </c>
      <c r="I35" s="28">
        <v>84</v>
      </c>
      <c r="J35" s="28">
        <v>43</v>
      </c>
      <c r="K35" s="28">
        <v>14</v>
      </c>
      <c r="L35" s="28">
        <v>17</v>
      </c>
      <c r="M35" s="28">
        <v>38</v>
      </c>
      <c r="N35" s="28">
        <v>36</v>
      </c>
      <c r="O35" s="28">
        <v>12</v>
      </c>
      <c r="P35" s="28">
        <v>5</v>
      </c>
      <c r="Q35" s="28">
        <v>33</v>
      </c>
      <c r="R35" s="28">
        <v>15</v>
      </c>
      <c r="S35" s="28">
        <v>4</v>
      </c>
      <c r="T35" s="28">
        <v>13</v>
      </c>
      <c r="U35" s="28">
        <v>27</v>
      </c>
      <c r="V35" s="28">
        <v>37</v>
      </c>
      <c r="W35" s="28">
        <v>19</v>
      </c>
      <c r="X35" s="28">
        <v>24</v>
      </c>
      <c r="Y35" s="28">
        <v>25</v>
      </c>
      <c r="Z35" s="28">
        <v>57</v>
      </c>
      <c r="AA35" s="13">
        <v>9</v>
      </c>
      <c r="AB35" s="13">
        <v>16</v>
      </c>
      <c r="AC35" s="13">
        <v>51</v>
      </c>
      <c r="AD35" s="13">
        <v>53</v>
      </c>
      <c r="AE35" s="13">
        <v>15</v>
      </c>
      <c r="AF35" s="13">
        <v>6</v>
      </c>
      <c r="AG35" s="13">
        <v>99</v>
      </c>
      <c r="AH35" s="13">
        <v>85</v>
      </c>
      <c r="AI35" s="13">
        <v>31</v>
      </c>
      <c r="AJ35" s="13">
        <v>70</v>
      </c>
      <c r="AK35" s="13">
        <v>83</v>
      </c>
      <c r="AL35" s="13">
        <v>108</v>
      </c>
      <c r="AM35" s="13">
        <v>26</v>
      </c>
      <c r="AN35" s="13">
        <v>39</v>
      </c>
      <c r="AO35" s="73">
        <v>69</v>
      </c>
      <c r="AP35" s="13">
        <v>102</v>
      </c>
      <c r="AQ35" s="73">
        <v>34</v>
      </c>
      <c r="AR35" s="73">
        <v>20</v>
      </c>
      <c r="AS35" s="73">
        <v>111</v>
      </c>
      <c r="AT35" s="73">
        <v>3</v>
      </c>
      <c r="AU35" s="73">
        <v>30</v>
      </c>
      <c r="AV35" s="62">
        <v>9</v>
      </c>
      <c r="AW35" s="62">
        <v>116</v>
      </c>
      <c r="AX35" s="62">
        <v>91</v>
      </c>
      <c r="AY35" s="62"/>
      <c r="AZ35" s="62"/>
      <c r="BA35" s="62"/>
    </row>
    <row r="36" spans="1:53" ht="15" customHeight="1" outlineLevel="1" x14ac:dyDescent="0.25">
      <c r="A36" s="66"/>
      <c r="B36" s="60" t="s">
        <v>62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73"/>
      <c r="AP36" s="3">
        <v>4</v>
      </c>
      <c r="AQ36" s="88">
        <v>1</v>
      </c>
      <c r="AR36" s="88">
        <v>2</v>
      </c>
      <c r="AS36" s="88">
        <v>7</v>
      </c>
      <c r="AT36" s="88">
        <v>3</v>
      </c>
      <c r="AU36" s="88">
        <v>2</v>
      </c>
      <c r="AV36" s="62">
        <v>1</v>
      </c>
      <c r="AW36" s="62">
        <v>12</v>
      </c>
      <c r="AX36" s="62">
        <v>2</v>
      </c>
      <c r="AY36" s="62"/>
      <c r="AZ36" s="62"/>
      <c r="BA36" s="62"/>
    </row>
    <row r="37" spans="1:53" ht="15" customHeight="1" outlineLevel="1" x14ac:dyDescent="0.25">
      <c r="A37" s="66"/>
      <c r="B37" s="106" t="s">
        <v>230</v>
      </c>
      <c r="C37" s="109">
        <f t="shared" ref="C37:AM37" si="7">SUM(C32:C36)</f>
        <v>65</v>
      </c>
      <c r="D37" s="109">
        <f t="shared" si="7"/>
        <v>96</v>
      </c>
      <c r="E37" s="109">
        <f t="shared" si="7"/>
        <v>446</v>
      </c>
      <c r="F37" s="109">
        <f t="shared" si="7"/>
        <v>130</v>
      </c>
      <c r="G37" s="109">
        <f t="shared" si="7"/>
        <v>88</v>
      </c>
      <c r="H37" s="109">
        <f t="shared" si="7"/>
        <v>173</v>
      </c>
      <c r="I37" s="109">
        <f t="shared" si="7"/>
        <v>435</v>
      </c>
      <c r="J37" s="109">
        <f t="shared" si="7"/>
        <v>197</v>
      </c>
      <c r="K37" s="109">
        <f t="shared" si="7"/>
        <v>63</v>
      </c>
      <c r="L37" s="109">
        <f t="shared" si="7"/>
        <v>113</v>
      </c>
      <c r="M37" s="109">
        <f t="shared" si="7"/>
        <v>407</v>
      </c>
      <c r="N37" s="109">
        <f t="shared" si="7"/>
        <v>222</v>
      </c>
      <c r="O37" s="109">
        <f t="shared" si="7"/>
        <v>62</v>
      </c>
      <c r="P37" s="109">
        <f t="shared" si="7"/>
        <v>28</v>
      </c>
      <c r="Q37" s="109">
        <f t="shared" si="7"/>
        <v>429</v>
      </c>
      <c r="R37" s="109">
        <f t="shared" si="7"/>
        <v>221</v>
      </c>
      <c r="S37" s="109">
        <f t="shared" si="7"/>
        <v>43</v>
      </c>
      <c r="T37" s="109">
        <f t="shared" si="7"/>
        <v>109</v>
      </c>
      <c r="U37" s="109">
        <f t="shared" si="7"/>
        <v>369</v>
      </c>
      <c r="V37" s="109">
        <f t="shared" si="7"/>
        <v>204</v>
      </c>
      <c r="W37" s="109">
        <f t="shared" si="7"/>
        <v>74</v>
      </c>
      <c r="X37" s="109">
        <f t="shared" si="7"/>
        <v>137</v>
      </c>
      <c r="Y37" s="109">
        <f t="shared" si="7"/>
        <v>363</v>
      </c>
      <c r="Z37" s="109">
        <f t="shared" si="7"/>
        <v>225</v>
      </c>
      <c r="AA37" s="109">
        <f t="shared" si="7"/>
        <v>81</v>
      </c>
      <c r="AB37" s="109">
        <f t="shared" si="7"/>
        <v>97</v>
      </c>
      <c r="AC37" s="109">
        <f t="shared" si="7"/>
        <v>419</v>
      </c>
      <c r="AD37" s="109">
        <f t="shared" si="7"/>
        <v>219</v>
      </c>
      <c r="AE37" s="109">
        <f t="shared" si="7"/>
        <v>62</v>
      </c>
      <c r="AF37" s="109">
        <f t="shared" si="7"/>
        <v>16</v>
      </c>
      <c r="AG37" s="109">
        <f t="shared" si="7"/>
        <v>511</v>
      </c>
      <c r="AH37" s="109">
        <f t="shared" si="7"/>
        <v>227</v>
      </c>
      <c r="AI37" s="109">
        <f t="shared" si="7"/>
        <v>36</v>
      </c>
      <c r="AJ37" s="109">
        <f t="shared" si="7"/>
        <v>84</v>
      </c>
      <c r="AK37" s="109">
        <f t="shared" si="7"/>
        <v>261</v>
      </c>
      <c r="AL37" s="109">
        <f t="shared" si="7"/>
        <v>257</v>
      </c>
      <c r="AM37" s="109">
        <f t="shared" si="7"/>
        <v>65</v>
      </c>
      <c r="AN37" s="109">
        <f t="shared" ref="AN37:AT37" si="8">SUM(AN32:AN36)</f>
        <v>104</v>
      </c>
      <c r="AO37" s="109">
        <f t="shared" si="8"/>
        <v>257</v>
      </c>
      <c r="AP37" s="109">
        <f t="shared" si="8"/>
        <v>228</v>
      </c>
      <c r="AQ37" s="109">
        <f t="shared" si="8"/>
        <v>75</v>
      </c>
      <c r="AR37" s="109">
        <f t="shared" si="8"/>
        <v>54</v>
      </c>
      <c r="AS37" s="109">
        <f t="shared" si="8"/>
        <v>364</v>
      </c>
      <c r="AT37" s="109">
        <f t="shared" si="8"/>
        <v>261</v>
      </c>
      <c r="AU37" s="110">
        <v>60</v>
      </c>
      <c r="AV37" s="109">
        <f>SUM(AV32:AV36)</f>
        <v>51</v>
      </c>
      <c r="AW37" s="109">
        <f>SUM(AW32:AW36)</f>
        <v>317</v>
      </c>
      <c r="AX37" s="109">
        <f>SUM(AX32:AX36)</f>
        <v>175</v>
      </c>
      <c r="AY37" s="109">
        <v>67</v>
      </c>
      <c r="AZ37" s="109">
        <v>126</v>
      </c>
      <c r="BA37" s="109">
        <v>264</v>
      </c>
    </row>
    <row r="38" spans="1:53" ht="15" customHeight="1" outlineLevel="1" x14ac:dyDescent="0.25">
      <c r="A38" s="66"/>
      <c r="B38" s="60" t="s">
        <v>55</v>
      </c>
      <c r="C38" s="28">
        <v>11</v>
      </c>
      <c r="D38" s="28">
        <v>16</v>
      </c>
      <c r="E38" s="28">
        <v>14</v>
      </c>
      <c r="F38" s="28">
        <v>28</v>
      </c>
      <c r="G38" s="28">
        <v>107</v>
      </c>
      <c r="H38" s="28">
        <v>53</v>
      </c>
      <c r="I38" s="28">
        <v>29</v>
      </c>
      <c r="J38" s="28">
        <v>24</v>
      </c>
      <c r="K38" s="28">
        <v>88</v>
      </c>
      <c r="L38" s="28">
        <v>57</v>
      </c>
      <c r="M38" s="28">
        <v>20</v>
      </c>
      <c r="N38" s="28">
        <v>20</v>
      </c>
      <c r="O38" s="28">
        <v>59</v>
      </c>
      <c r="P38" s="28">
        <v>41</v>
      </c>
      <c r="Q38" s="28">
        <v>21</v>
      </c>
      <c r="R38" s="28">
        <v>19</v>
      </c>
      <c r="S38" s="28">
        <v>49</v>
      </c>
      <c r="T38" s="28">
        <v>50</v>
      </c>
      <c r="U38" s="28">
        <v>23</v>
      </c>
      <c r="V38" s="28">
        <v>16</v>
      </c>
      <c r="W38" s="28">
        <v>59</v>
      </c>
      <c r="X38" s="28">
        <v>55</v>
      </c>
      <c r="Y38" s="28">
        <v>21</v>
      </c>
      <c r="Z38" s="28">
        <v>25</v>
      </c>
      <c r="AA38" s="13">
        <v>61</v>
      </c>
      <c r="AB38" s="13">
        <v>65</v>
      </c>
      <c r="AC38" s="13">
        <v>31</v>
      </c>
      <c r="AD38" s="13">
        <v>24</v>
      </c>
      <c r="AE38" s="13">
        <v>37</v>
      </c>
      <c r="AF38" s="13">
        <v>26</v>
      </c>
      <c r="AG38" s="13">
        <v>32</v>
      </c>
      <c r="AH38" s="13">
        <v>16</v>
      </c>
      <c r="AI38" s="13">
        <v>88</v>
      </c>
      <c r="AJ38" s="13">
        <v>79</v>
      </c>
      <c r="AK38" s="13">
        <v>42</v>
      </c>
      <c r="AL38" s="13">
        <v>12</v>
      </c>
      <c r="AM38" s="13">
        <v>99</v>
      </c>
      <c r="AN38" s="13">
        <v>55</v>
      </c>
      <c r="AO38" s="73">
        <v>55</v>
      </c>
      <c r="AP38" s="13">
        <v>32</v>
      </c>
      <c r="AQ38" s="73">
        <v>36</v>
      </c>
      <c r="AR38" s="73">
        <v>20</v>
      </c>
      <c r="AS38" s="73">
        <v>29</v>
      </c>
      <c r="AT38" s="73">
        <v>25</v>
      </c>
      <c r="AU38" s="73">
        <v>53</v>
      </c>
      <c r="AV38" s="62">
        <v>94</v>
      </c>
      <c r="AW38" s="62">
        <v>53</v>
      </c>
      <c r="AX38" s="62">
        <v>40</v>
      </c>
      <c r="AY38" s="62"/>
      <c r="AZ38" s="62"/>
      <c r="BA38" s="62"/>
    </row>
    <row r="39" spans="1:53" ht="15" customHeight="1" outlineLevel="1" x14ac:dyDescent="0.25">
      <c r="A39" s="66"/>
      <c r="B39" s="60" t="s">
        <v>56</v>
      </c>
      <c r="C39" s="28">
        <v>105</v>
      </c>
      <c r="D39" s="28">
        <v>176</v>
      </c>
      <c r="E39" s="28">
        <v>83</v>
      </c>
      <c r="F39" s="28">
        <v>93</v>
      </c>
      <c r="G39" s="28">
        <v>207</v>
      </c>
      <c r="H39" s="28">
        <v>141</v>
      </c>
      <c r="I39" s="28">
        <v>179</v>
      </c>
      <c r="J39" s="28">
        <v>100</v>
      </c>
      <c r="K39" s="28">
        <v>192</v>
      </c>
      <c r="L39" s="28">
        <v>226</v>
      </c>
      <c r="M39" s="28">
        <v>160</v>
      </c>
      <c r="N39" s="28">
        <v>90</v>
      </c>
      <c r="O39" s="28">
        <v>162</v>
      </c>
      <c r="P39" s="28">
        <v>197</v>
      </c>
      <c r="Q39" s="28">
        <v>141</v>
      </c>
      <c r="R39" s="28">
        <v>127</v>
      </c>
      <c r="S39" s="28">
        <v>174</v>
      </c>
      <c r="T39" s="28">
        <v>226</v>
      </c>
      <c r="U39" s="28">
        <v>188</v>
      </c>
      <c r="V39" s="28">
        <v>95</v>
      </c>
      <c r="W39" s="28">
        <v>150</v>
      </c>
      <c r="X39" s="28">
        <v>239</v>
      </c>
      <c r="Y39" s="28">
        <v>204</v>
      </c>
      <c r="Z39" s="28">
        <v>97</v>
      </c>
      <c r="AA39" s="13">
        <v>154</v>
      </c>
      <c r="AB39" s="13">
        <v>291</v>
      </c>
      <c r="AC39" s="13">
        <v>184</v>
      </c>
      <c r="AD39" s="13">
        <v>132</v>
      </c>
      <c r="AE39" s="13">
        <v>121</v>
      </c>
      <c r="AF39" s="13">
        <v>228</v>
      </c>
      <c r="AG39" s="13">
        <v>214</v>
      </c>
      <c r="AH39" s="13">
        <v>104</v>
      </c>
      <c r="AI39" s="13">
        <v>118</v>
      </c>
      <c r="AJ39" s="13">
        <v>238</v>
      </c>
      <c r="AK39" s="13">
        <v>260</v>
      </c>
      <c r="AL39" s="13">
        <v>115</v>
      </c>
      <c r="AM39" s="13">
        <v>156</v>
      </c>
      <c r="AN39" s="13">
        <v>247</v>
      </c>
      <c r="AO39" s="73">
        <v>256.13799999999998</v>
      </c>
      <c r="AP39" s="13">
        <v>129</v>
      </c>
      <c r="AQ39" s="73">
        <v>109</v>
      </c>
      <c r="AR39" s="73">
        <v>210</v>
      </c>
      <c r="AS39" s="73">
        <v>258</v>
      </c>
      <c r="AT39" s="73">
        <v>165</v>
      </c>
      <c r="AU39" s="73">
        <v>121</v>
      </c>
      <c r="AV39" s="62">
        <v>272</v>
      </c>
      <c r="AW39" s="62">
        <v>231</v>
      </c>
      <c r="AX39" s="62">
        <v>95</v>
      </c>
      <c r="AY39" s="62"/>
      <c r="AZ39" s="62"/>
      <c r="BA39" s="62"/>
    </row>
    <row r="40" spans="1:53" ht="15" customHeight="1" outlineLevel="1" x14ac:dyDescent="0.25">
      <c r="A40" s="66"/>
      <c r="B40" s="106" t="s">
        <v>231</v>
      </c>
      <c r="C40" s="109">
        <f t="shared" ref="C40:AO40" si="9">SUM(C38:C39)</f>
        <v>116</v>
      </c>
      <c r="D40" s="109">
        <f t="shared" si="9"/>
        <v>192</v>
      </c>
      <c r="E40" s="109">
        <f t="shared" si="9"/>
        <v>97</v>
      </c>
      <c r="F40" s="109">
        <f t="shared" si="9"/>
        <v>121</v>
      </c>
      <c r="G40" s="109">
        <f t="shared" si="9"/>
        <v>314</v>
      </c>
      <c r="H40" s="109">
        <f t="shared" si="9"/>
        <v>194</v>
      </c>
      <c r="I40" s="109">
        <f t="shared" si="9"/>
        <v>208</v>
      </c>
      <c r="J40" s="109">
        <f t="shared" si="9"/>
        <v>124</v>
      </c>
      <c r="K40" s="109">
        <f t="shared" si="9"/>
        <v>280</v>
      </c>
      <c r="L40" s="109">
        <f t="shared" si="9"/>
        <v>283</v>
      </c>
      <c r="M40" s="109">
        <f t="shared" si="9"/>
        <v>180</v>
      </c>
      <c r="N40" s="109">
        <f t="shared" si="9"/>
        <v>110</v>
      </c>
      <c r="O40" s="109">
        <f t="shared" si="9"/>
        <v>221</v>
      </c>
      <c r="P40" s="109">
        <f t="shared" si="9"/>
        <v>238</v>
      </c>
      <c r="Q40" s="109">
        <f t="shared" si="9"/>
        <v>162</v>
      </c>
      <c r="R40" s="109">
        <f t="shared" si="9"/>
        <v>146</v>
      </c>
      <c r="S40" s="109">
        <f t="shared" si="9"/>
        <v>223</v>
      </c>
      <c r="T40" s="109">
        <f t="shared" si="9"/>
        <v>276</v>
      </c>
      <c r="U40" s="109">
        <f t="shared" si="9"/>
        <v>211</v>
      </c>
      <c r="V40" s="109">
        <f t="shared" si="9"/>
        <v>111</v>
      </c>
      <c r="W40" s="109">
        <f t="shared" si="9"/>
        <v>209</v>
      </c>
      <c r="X40" s="109">
        <f t="shared" si="9"/>
        <v>294</v>
      </c>
      <c r="Y40" s="109">
        <f t="shared" si="9"/>
        <v>225</v>
      </c>
      <c r="Z40" s="109">
        <f t="shared" si="9"/>
        <v>122</v>
      </c>
      <c r="AA40" s="109">
        <f t="shared" si="9"/>
        <v>215</v>
      </c>
      <c r="AB40" s="109">
        <f t="shared" si="9"/>
        <v>356</v>
      </c>
      <c r="AC40" s="109">
        <f t="shared" si="9"/>
        <v>215</v>
      </c>
      <c r="AD40" s="109">
        <f t="shared" si="9"/>
        <v>156</v>
      </c>
      <c r="AE40" s="109">
        <f t="shared" si="9"/>
        <v>158</v>
      </c>
      <c r="AF40" s="109">
        <f t="shared" si="9"/>
        <v>254</v>
      </c>
      <c r="AG40" s="109">
        <f t="shared" si="9"/>
        <v>246</v>
      </c>
      <c r="AH40" s="109">
        <f t="shared" si="9"/>
        <v>120</v>
      </c>
      <c r="AI40" s="109">
        <f t="shared" si="9"/>
        <v>206</v>
      </c>
      <c r="AJ40" s="109">
        <f t="shared" si="9"/>
        <v>317</v>
      </c>
      <c r="AK40" s="109">
        <f t="shared" si="9"/>
        <v>302</v>
      </c>
      <c r="AL40" s="109">
        <f t="shared" si="9"/>
        <v>127</v>
      </c>
      <c r="AM40" s="109">
        <f t="shared" si="9"/>
        <v>255</v>
      </c>
      <c r="AN40" s="109">
        <f t="shared" si="9"/>
        <v>302</v>
      </c>
      <c r="AO40" s="109">
        <f t="shared" si="9"/>
        <v>311.13799999999998</v>
      </c>
      <c r="AP40" s="109">
        <f>SUM(AP38:AP39)</f>
        <v>161</v>
      </c>
      <c r="AQ40" s="109">
        <f>SUM(AQ38:AQ39)</f>
        <v>145</v>
      </c>
      <c r="AR40" s="109">
        <f>SUM(AR38:AR39)</f>
        <v>230</v>
      </c>
      <c r="AS40" s="109">
        <f>SUM(AS38:AS39)</f>
        <v>287</v>
      </c>
      <c r="AT40" s="109">
        <f>SUM(AT38:AT39)</f>
        <v>190</v>
      </c>
      <c r="AU40" s="111">
        <v>174</v>
      </c>
      <c r="AV40" s="109">
        <f>SUM(AV38:AV39)</f>
        <v>366</v>
      </c>
      <c r="AW40" s="109">
        <f>SUM(AW38:AW39)</f>
        <v>284</v>
      </c>
      <c r="AX40" s="109">
        <f>SUM(AX38:AX39)</f>
        <v>135</v>
      </c>
      <c r="AY40" s="109">
        <v>285</v>
      </c>
      <c r="AZ40" s="109">
        <v>277</v>
      </c>
      <c r="BA40" s="109">
        <v>269</v>
      </c>
    </row>
    <row r="41" spans="1:53" ht="15" customHeight="1" outlineLevel="1" x14ac:dyDescent="0.25">
      <c r="A41" s="66"/>
      <c r="B41" s="60" t="s">
        <v>191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73"/>
      <c r="AP41" s="13"/>
      <c r="AQ41" s="73"/>
      <c r="AR41" s="73"/>
      <c r="AS41" s="73">
        <v>3</v>
      </c>
      <c r="AT41" s="73">
        <v>2</v>
      </c>
      <c r="AU41" s="73"/>
      <c r="AV41" s="62"/>
      <c r="AW41" s="62">
        <v>10</v>
      </c>
      <c r="AX41" s="62">
        <v>2</v>
      </c>
      <c r="AY41" s="62"/>
      <c r="AZ41" s="62"/>
      <c r="BA41" s="62"/>
    </row>
    <row r="42" spans="1:53" ht="15" customHeight="1" outlineLevel="1" x14ac:dyDescent="0.25">
      <c r="A42" s="66"/>
      <c r="B42" s="60" t="s">
        <v>216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73"/>
      <c r="AP42" s="13"/>
      <c r="AQ42" s="73"/>
      <c r="AR42" s="73"/>
      <c r="AS42" s="73">
        <v>6</v>
      </c>
      <c r="AT42" s="73">
        <v>9</v>
      </c>
      <c r="AU42" s="73"/>
      <c r="AV42" s="28"/>
      <c r="AW42" s="28">
        <v>8</v>
      </c>
      <c r="AX42" s="62">
        <v>8</v>
      </c>
      <c r="AY42" s="62"/>
      <c r="AZ42" s="62"/>
      <c r="BA42" s="62"/>
    </row>
    <row r="43" spans="1:53" ht="15" customHeight="1" outlineLevel="1" x14ac:dyDescent="0.25">
      <c r="A43" s="66"/>
      <c r="B43" s="107" t="s">
        <v>232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75"/>
      <c r="AP43" s="20"/>
      <c r="AQ43" s="75"/>
      <c r="AR43" s="75"/>
      <c r="AS43" s="109">
        <f>SUM(AS41:AS42)</f>
        <v>9</v>
      </c>
      <c r="AT43" s="109">
        <f>SUM(AT41:AT42)</f>
        <v>11</v>
      </c>
      <c r="AU43" s="108">
        <v>7</v>
      </c>
      <c r="AV43" s="112">
        <v>15</v>
      </c>
      <c r="AW43" s="109">
        <f>SUM(AW41:AW42)</f>
        <v>18</v>
      </c>
      <c r="AX43" s="109">
        <f>SUM(AX41:AX42)</f>
        <v>10</v>
      </c>
      <c r="AY43" s="109">
        <v>14</v>
      </c>
      <c r="AZ43" s="109">
        <v>15</v>
      </c>
      <c r="BA43" s="109">
        <v>30</v>
      </c>
    </row>
    <row r="44" spans="1:53" ht="15" customHeight="1" outlineLevel="1" x14ac:dyDescent="0.25">
      <c r="A44" s="66"/>
      <c r="B44" s="6" t="s">
        <v>49</v>
      </c>
      <c r="C44" s="31">
        <v>738</v>
      </c>
      <c r="D44" s="31">
        <v>574</v>
      </c>
      <c r="E44" s="31">
        <v>284</v>
      </c>
      <c r="F44" s="31">
        <v>306</v>
      </c>
      <c r="G44" s="31">
        <v>289</v>
      </c>
      <c r="H44" s="31">
        <v>276</v>
      </c>
      <c r="I44" s="31">
        <v>308</v>
      </c>
      <c r="J44" s="31">
        <v>286</v>
      </c>
      <c r="K44" s="31">
        <v>379</v>
      </c>
      <c r="L44" s="31">
        <v>396</v>
      </c>
      <c r="M44" s="31">
        <v>359</v>
      </c>
      <c r="N44" s="31">
        <v>415</v>
      </c>
      <c r="O44" s="31">
        <v>518</v>
      </c>
      <c r="P44" s="31">
        <v>512</v>
      </c>
      <c r="Q44" s="31">
        <v>392</v>
      </c>
      <c r="R44" s="31">
        <v>436</v>
      </c>
      <c r="S44" s="31">
        <v>473</v>
      </c>
      <c r="T44" s="31">
        <v>450</v>
      </c>
      <c r="U44" s="31">
        <v>426</v>
      </c>
      <c r="V44" s="31">
        <v>404</v>
      </c>
      <c r="W44" s="31">
        <v>410</v>
      </c>
      <c r="X44" s="31">
        <v>374</v>
      </c>
      <c r="Y44" s="31">
        <v>359</v>
      </c>
      <c r="Z44" s="31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  <c r="AZ44" s="7">
        <v>270</v>
      </c>
      <c r="BA44" s="7">
        <v>339</v>
      </c>
    </row>
    <row r="45" spans="1:53" ht="15" customHeight="1" outlineLevel="1" x14ac:dyDescent="0.25">
      <c r="A45" s="66"/>
      <c r="B45" s="23" t="s">
        <v>59</v>
      </c>
      <c r="C45" s="24">
        <f t="shared" ref="C45:AW45" si="10">C49+C52+C54</f>
        <v>327</v>
      </c>
      <c r="D45" s="24">
        <f t="shared" si="10"/>
        <v>190</v>
      </c>
      <c r="E45" s="24">
        <f t="shared" si="10"/>
        <v>231</v>
      </c>
      <c r="F45" s="24">
        <f t="shared" si="10"/>
        <v>130</v>
      </c>
      <c r="G45" s="24">
        <f t="shared" si="10"/>
        <v>404</v>
      </c>
      <c r="H45" s="24">
        <f t="shared" si="10"/>
        <v>345</v>
      </c>
      <c r="I45" s="24">
        <f t="shared" si="10"/>
        <v>363</v>
      </c>
      <c r="J45" s="24">
        <f t="shared" si="10"/>
        <v>311</v>
      </c>
      <c r="K45" s="24">
        <f t="shared" si="10"/>
        <v>404</v>
      </c>
      <c r="L45" s="24">
        <f t="shared" si="10"/>
        <v>370</v>
      </c>
      <c r="M45" s="24">
        <f t="shared" si="10"/>
        <v>341</v>
      </c>
      <c r="N45" s="24">
        <f t="shared" si="10"/>
        <v>379</v>
      </c>
      <c r="O45" s="24">
        <f t="shared" si="10"/>
        <v>357</v>
      </c>
      <c r="P45" s="24">
        <f t="shared" si="10"/>
        <v>309</v>
      </c>
      <c r="Q45" s="24">
        <f t="shared" si="10"/>
        <v>301</v>
      </c>
      <c r="R45" s="24">
        <f t="shared" si="10"/>
        <v>414</v>
      </c>
      <c r="S45" s="24">
        <f t="shared" si="10"/>
        <v>371</v>
      </c>
      <c r="T45" s="24">
        <f t="shared" si="10"/>
        <v>337</v>
      </c>
      <c r="U45" s="24">
        <f t="shared" si="10"/>
        <v>351</v>
      </c>
      <c r="V45" s="24">
        <f t="shared" si="10"/>
        <v>370</v>
      </c>
      <c r="W45" s="24">
        <f t="shared" si="10"/>
        <v>388</v>
      </c>
      <c r="X45" s="24">
        <f t="shared" si="10"/>
        <v>300</v>
      </c>
      <c r="Y45" s="24">
        <f t="shared" si="10"/>
        <v>401</v>
      </c>
      <c r="Z45" s="24">
        <f t="shared" si="10"/>
        <v>384</v>
      </c>
      <c r="AA45" s="24">
        <f t="shared" si="10"/>
        <v>337</v>
      </c>
      <c r="AB45" s="24">
        <f t="shared" si="10"/>
        <v>366</v>
      </c>
      <c r="AC45" s="24">
        <f t="shared" si="10"/>
        <v>352</v>
      </c>
      <c r="AD45" s="24">
        <f t="shared" si="10"/>
        <v>343</v>
      </c>
      <c r="AE45" s="24">
        <f t="shared" si="10"/>
        <v>348</v>
      </c>
      <c r="AF45" s="24">
        <f t="shared" si="10"/>
        <v>330</v>
      </c>
      <c r="AG45" s="24">
        <f t="shared" si="10"/>
        <v>376</v>
      </c>
      <c r="AH45" s="24">
        <f t="shared" si="10"/>
        <v>353</v>
      </c>
      <c r="AI45" s="24">
        <f t="shared" si="10"/>
        <v>239</v>
      </c>
      <c r="AJ45" s="24">
        <f t="shared" si="10"/>
        <v>329</v>
      </c>
      <c r="AK45" s="24">
        <f t="shared" si="10"/>
        <v>432</v>
      </c>
      <c r="AL45" s="24">
        <f t="shared" si="10"/>
        <v>358</v>
      </c>
      <c r="AM45" s="24">
        <f t="shared" si="10"/>
        <v>383</v>
      </c>
      <c r="AN45" s="24">
        <f t="shared" si="10"/>
        <v>399</v>
      </c>
      <c r="AO45" s="24">
        <f t="shared" si="10"/>
        <v>435</v>
      </c>
      <c r="AP45" s="24">
        <f t="shared" si="10"/>
        <v>448</v>
      </c>
      <c r="AQ45" s="24">
        <f t="shared" si="10"/>
        <v>420</v>
      </c>
      <c r="AR45" s="24">
        <f t="shared" si="10"/>
        <v>310</v>
      </c>
      <c r="AS45" s="24">
        <f t="shared" si="10"/>
        <v>430</v>
      </c>
      <c r="AT45" s="24">
        <f t="shared" si="10"/>
        <v>467</v>
      </c>
      <c r="AU45" s="24">
        <f t="shared" si="10"/>
        <v>441</v>
      </c>
      <c r="AV45" s="24">
        <f t="shared" si="10"/>
        <v>343</v>
      </c>
      <c r="AW45" s="24">
        <f t="shared" si="10"/>
        <v>482</v>
      </c>
      <c r="AX45" s="24">
        <f>AX49+AX52+AX54</f>
        <v>428</v>
      </c>
      <c r="AY45" s="24">
        <f>AY49+AY52+AY54</f>
        <v>383</v>
      </c>
      <c r="AZ45" s="24">
        <f>AZ49+AZ52+AZ54</f>
        <v>493</v>
      </c>
      <c r="BA45" s="24">
        <f>BA49+BA52+BA54</f>
        <v>467</v>
      </c>
    </row>
    <row r="46" spans="1:53" ht="15" customHeight="1" outlineLevel="1" x14ac:dyDescent="0.25">
      <c r="A46" s="66"/>
      <c r="B46" s="60" t="s">
        <v>50</v>
      </c>
      <c r="C46" s="28">
        <v>71</v>
      </c>
      <c r="D46" s="28">
        <v>78</v>
      </c>
      <c r="E46" s="28">
        <v>111</v>
      </c>
      <c r="F46" s="28">
        <v>11</v>
      </c>
      <c r="G46" s="28">
        <v>86</v>
      </c>
      <c r="H46" s="28">
        <v>102</v>
      </c>
      <c r="I46" s="28">
        <v>99</v>
      </c>
      <c r="J46" s="28">
        <v>46</v>
      </c>
      <c r="K46" s="28">
        <v>81</v>
      </c>
      <c r="L46" s="28">
        <v>111</v>
      </c>
      <c r="M46" s="28">
        <v>95</v>
      </c>
      <c r="N46" s="28">
        <v>61</v>
      </c>
      <c r="O46" s="28">
        <v>85</v>
      </c>
      <c r="P46" s="28">
        <v>102</v>
      </c>
      <c r="Q46" s="28">
        <v>85</v>
      </c>
      <c r="R46" s="28">
        <v>42</v>
      </c>
      <c r="S46" s="28">
        <v>97</v>
      </c>
      <c r="T46" s="28">
        <v>81</v>
      </c>
      <c r="U46" s="28">
        <v>55</v>
      </c>
      <c r="V46" s="28">
        <v>43</v>
      </c>
      <c r="W46" s="28">
        <v>104</v>
      </c>
      <c r="X46" s="28">
        <v>64</v>
      </c>
      <c r="Y46" s="28">
        <v>100</v>
      </c>
      <c r="Z46" s="28">
        <v>22</v>
      </c>
      <c r="AA46" s="13">
        <v>59</v>
      </c>
      <c r="AB46" s="13">
        <v>85</v>
      </c>
      <c r="AC46" s="13">
        <v>91</v>
      </c>
      <c r="AD46" s="13">
        <v>29</v>
      </c>
      <c r="AE46" s="13">
        <v>106</v>
      </c>
      <c r="AF46" s="13">
        <v>30</v>
      </c>
      <c r="AG46" s="13">
        <v>68</v>
      </c>
      <c r="AH46" s="13">
        <v>62</v>
      </c>
      <c r="AI46" s="13">
        <v>9</v>
      </c>
      <c r="AJ46" s="13">
        <v>83</v>
      </c>
      <c r="AK46" s="13">
        <v>160</v>
      </c>
      <c r="AL46" s="13">
        <v>106</v>
      </c>
      <c r="AM46" s="13">
        <v>84</v>
      </c>
      <c r="AN46" s="62">
        <v>141</v>
      </c>
      <c r="AO46" s="62">
        <v>168</v>
      </c>
      <c r="AP46" s="62">
        <v>126</v>
      </c>
      <c r="AQ46" s="62">
        <v>41</v>
      </c>
      <c r="AR46" s="62">
        <v>95</v>
      </c>
      <c r="AS46" s="62">
        <v>112</v>
      </c>
      <c r="AT46" s="62">
        <v>115</v>
      </c>
      <c r="AU46" s="62">
        <v>79</v>
      </c>
      <c r="AV46" s="62">
        <v>76</v>
      </c>
      <c r="AW46" s="62">
        <v>140</v>
      </c>
      <c r="AX46" s="62">
        <v>110</v>
      </c>
      <c r="AY46" s="62"/>
      <c r="AZ46" s="62"/>
      <c r="BA46" s="62"/>
    </row>
    <row r="47" spans="1:53" ht="15" customHeight="1" outlineLevel="1" x14ac:dyDescent="0.25">
      <c r="A47" s="66"/>
      <c r="B47" s="60" t="s">
        <v>52</v>
      </c>
      <c r="C47" s="28">
        <v>35</v>
      </c>
      <c r="D47" s="28">
        <v>36</v>
      </c>
      <c r="E47" s="28">
        <v>50</v>
      </c>
      <c r="F47" s="28">
        <v>3</v>
      </c>
      <c r="G47" s="28">
        <v>30</v>
      </c>
      <c r="H47" s="28">
        <v>49</v>
      </c>
      <c r="I47" s="28">
        <v>62</v>
      </c>
      <c r="J47" s="28">
        <v>62</v>
      </c>
      <c r="K47" s="28">
        <v>16</v>
      </c>
      <c r="L47" s="28">
        <v>54</v>
      </c>
      <c r="M47" s="28">
        <v>69</v>
      </c>
      <c r="N47" s="28">
        <v>97</v>
      </c>
      <c r="O47" s="28">
        <v>27</v>
      </c>
      <c r="P47" s="28">
        <v>60</v>
      </c>
      <c r="Q47" s="28">
        <v>76</v>
      </c>
      <c r="R47" s="28">
        <v>110</v>
      </c>
      <c r="S47" s="28">
        <v>33</v>
      </c>
      <c r="T47" s="28">
        <v>78</v>
      </c>
      <c r="U47" s="28">
        <v>97</v>
      </c>
      <c r="V47" s="28">
        <v>99</v>
      </c>
      <c r="W47" s="28">
        <v>33</v>
      </c>
      <c r="X47" s="28">
        <v>100</v>
      </c>
      <c r="Y47" s="28">
        <v>62</v>
      </c>
      <c r="Z47" s="28">
        <v>113</v>
      </c>
      <c r="AA47" s="13">
        <v>39</v>
      </c>
      <c r="AB47" s="13">
        <v>76</v>
      </c>
      <c r="AC47" s="13">
        <v>67</v>
      </c>
      <c r="AD47" s="13">
        <v>113</v>
      </c>
      <c r="AE47" s="13">
        <v>24</v>
      </c>
      <c r="AF47" s="13">
        <v>119</v>
      </c>
      <c r="AG47" s="13">
        <v>92</v>
      </c>
      <c r="AH47" s="13">
        <v>90</v>
      </c>
      <c r="AI47" s="13">
        <v>0</v>
      </c>
      <c r="AJ47" s="13">
        <v>20</v>
      </c>
      <c r="AK47" s="13">
        <v>7</v>
      </c>
      <c r="AL47" s="13">
        <v>0</v>
      </c>
      <c r="AM47" s="13">
        <v>53</v>
      </c>
      <c r="AN47" s="62">
        <v>25</v>
      </c>
      <c r="AO47" s="62">
        <v>7</v>
      </c>
      <c r="AP47" s="62">
        <v>35</v>
      </c>
      <c r="AQ47" s="62">
        <v>94</v>
      </c>
      <c r="AR47" s="62">
        <v>32</v>
      </c>
      <c r="AS47" s="62">
        <v>45</v>
      </c>
      <c r="AT47" s="62">
        <v>47</v>
      </c>
      <c r="AU47" s="62">
        <v>66</v>
      </c>
      <c r="AV47" s="62">
        <v>49</v>
      </c>
      <c r="AW47" s="62">
        <v>31</v>
      </c>
      <c r="AX47" s="62">
        <v>49</v>
      </c>
      <c r="AY47" s="62"/>
      <c r="AZ47" s="62"/>
      <c r="BA47" s="62"/>
    </row>
    <row r="48" spans="1:53" ht="15" customHeight="1" outlineLevel="1" x14ac:dyDescent="0.25">
      <c r="A48" s="66"/>
      <c r="B48" s="60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8</v>
      </c>
      <c r="AM48" s="13">
        <v>0</v>
      </c>
      <c r="AN48" s="13">
        <v>6</v>
      </c>
      <c r="AO48" s="13">
        <v>0</v>
      </c>
      <c r="AP48" s="13">
        <v>6</v>
      </c>
      <c r="AQ48" s="13">
        <v>0</v>
      </c>
      <c r="AR48" s="13">
        <v>3</v>
      </c>
      <c r="AS48" s="13">
        <v>4</v>
      </c>
      <c r="AT48" s="13">
        <v>4</v>
      </c>
      <c r="AU48" s="13">
        <v>0</v>
      </c>
      <c r="AV48" s="62">
        <v>2</v>
      </c>
      <c r="AW48" s="62">
        <v>11</v>
      </c>
      <c r="AX48" s="62">
        <v>2</v>
      </c>
      <c r="AY48" s="62"/>
      <c r="AZ48" s="62"/>
      <c r="BA48" s="62"/>
    </row>
    <row r="49" spans="1:53" ht="15" customHeight="1" outlineLevel="1" x14ac:dyDescent="0.25">
      <c r="A49" s="66"/>
      <c r="B49" s="106" t="s">
        <v>230</v>
      </c>
      <c r="C49" s="109">
        <f t="shared" ref="C49:AW49" si="11">SUM(C46:C48)</f>
        <v>106</v>
      </c>
      <c r="D49" s="109">
        <f t="shared" si="11"/>
        <v>114</v>
      </c>
      <c r="E49" s="109">
        <f t="shared" si="11"/>
        <v>161</v>
      </c>
      <c r="F49" s="109">
        <f t="shared" si="11"/>
        <v>14</v>
      </c>
      <c r="G49" s="109">
        <f t="shared" si="11"/>
        <v>116</v>
      </c>
      <c r="H49" s="109">
        <f t="shared" si="11"/>
        <v>151</v>
      </c>
      <c r="I49" s="109">
        <f t="shared" si="11"/>
        <v>161</v>
      </c>
      <c r="J49" s="109">
        <f t="shared" si="11"/>
        <v>108</v>
      </c>
      <c r="K49" s="109">
        <f t="shared" si="11"/>
        <v>97</v>
      </c>
      <c r="L49" s="109">
        <f t="shared" si="11"/>
        <v>165</v>
      </c>
      <c r="M49" s="109">
        <f t="shared" si="11"/>
        <v>164</v>
      </c>
      <c r="N49" s="109">
        <f t="shared" si="11"/>
        <v>158</v>
      </c>
      <c r="O49" s="109">
        <f t="shared" si="11"/>
        <v>112</v>
      </c>
      <c r="P49" s="109">
        <f t="shared" si="11"/>
        <v>162</v>
      </c>
      <c r="Q49" s="109">
        <f t="shared" si="11"/>
        <v>161</v>
      </c>
      <c r="R49" s="109">
        <f t="shared" si="11"/>
        <v>152</v>
      </c>
      <c r="S49" s="109">
        <f t="shared" si="11"/>
        <v>130</v>
      </c>
      <c r="T49" s="109">
        <f t="shared" si="11"/>
        <v>159</v>
      </c>
      <c r="U49" s="109">
        <f t="shared" si="11"/>
        <v>152</v>
      </c>
      <c r="V49" s="109">
        <f t="shared" si="11"/>
        <v>142</v>
      </c>
      <c r="W49" s="109">
        <f t="shared" si="11"/>
        <v>137</v>
      </c>
      <c r="X49" s="109">
        <f t="shared" si="11"/>
        <v>164</v>
      </c>
      <c r="Y49" s="109">
        <f t="shared" si="11"/>
        <v>162</v>
      </c>
      <c r="Z49" s="109">
        <f t="shared" si="11"/>
        <v>135</v>
      </c>
      <c r="AA49" s="109">
        <f t="shared" si="11"/>
        <v>98</v>
      </c>
      <c r="AB49" s="109">
        <f t="shared" si="11"/>
        <v>161</v>
      </c>
      <c r="AC49" s="109">
        <f t="shared" si="11"/>
        <v>158</v>
      </c>
      <c r="AD49" s="109">
        <f t="shared" si="11"/>
        <v>142</v>
      </c>
      <c r="AE49" s="109">
        <f t="shared" si="11"/>
        <v>130</v>
      </c>
      <c r="AF49" s="109">
        <f t="shared" si="11"/>
        <v>149</v>
      </c>
      <c r="AG49" s="109">
        <f t="shared" si="11"/>
        <v>160</v>
      </c>
      <c r="AH49" s="109">
        <f t="shared" si="11"/>
        <v>152</v>
      </c>
      <c r="AI49" s="109">
        <f t="shared" si="11"/>
        <v>9</v>
      </c>
      <c r="AJ49" s="109">
        <f t="shared" si="11"/>
        <v>103</v>
      </c>
      <c r="AK49" s="109">
        <f t="shared" si="11"/>
        <v>167</v>
      </c>
      <c r="AL49" s="109">
        <f t="shared" si="11"/>
        <v>114</v>
      </c>
      <c r="AM49" s="109">
        <f t="shared" si="11"/>
        <v>137</v>
      </c>
      <c r="AN49" s="109">
        <f t="shared" si="11"/>
        <v>172</v>
      </c>
      <c r="AO49" s="109">
        <f t="shared" si="11"/>
        <v>175</v>
      </c>
      <c r="AP49" s="109">
        <f t="shared" si="11"/>
        <v>167</v>
      </c>
      <c r="AQ49" s="109">
        <f t="shared" si="11"/>
        <v>135</v>
      </c>
      <c r="AR49" s="109">
        <f t="shared" si="11"/>
        <v>130</v>
      </c>
      <c r="AS49" s="109">
        <f t="shared" si="11"/>
        <v>161</v>
      </c>
      <c r="AT49" s="109">
        <f t="shared" si="11"/>
        <v>166</v>
      </c>
      <c r="AU49" s="109">
        <f t="shared" si="11"/>
        <v>145</v>
      </c>
      <c r="AV49" s="109">
        <f t="shared" si="11"/>
        <v>127</v>
      </c>
      <c r="AW49" s="109">
        <f t="shared" si="11"/>
        <v>182</v>
      </c>
      <c r="AX49" s="109">
        <f>SUM(AX46:AX48)</f>
        <v>161</v>
      </c>
      <c r="AY49" s="109">
        <v>105</v>
      </c>
      <c r="AZ49" s="109">
        <v>172</v>
      </c>
      <c r="BA49" s="109">
        <v>175</v>
      </c>
    </row>
    <row r="50" spans="1:53" ht="15" customHeight="1" outlineLevel="1" x14ac:dyDescent="0.25">
      <c r="A50" s="66"/>
      <c r="B50" s="60" t="s">
        <v>55</v>
      </c>
      <c r="C50" s="28">
        <v>16</v>
      </c>
      <c r="D50" s="28">
        <v>5</v>
      </c>
      <c r="E50" s="28">
        <v>11</v>
      </c>
      <c r="F50" s="28">
        <v>29</v>
      </c>
      <c r="G50" s="28">
        <v>93</v>
      </c>
      <c r="H50" s="28">
        <v>58</v>
      </c>
      <c r="I50" s="28">
        <v>47</v>
      </c>
      <c r="J50" s="28">
        <v>54</v>
      </c>
      <c r="K50" s="28">
        <v>88</v>
      </c>
      <c r="L50" s="28">
        <v>41</v>
      </c>
      <c r="M50" s="28">
        <v>25</v>
      </c>
      <c r="N50" s="28">
        <v>49</v>
      </c>
      <c r="O50" s="28">
        <v>56</v>
      </c>
      <c r="P50" s="28">
        <v>17</v>
      </c>
      <c r="Q50" s="28">
        <v>27</v>
      </c>
      <c r="R50" s="28">
        <v>51</v>
      </c>
      <c r="S50" s="28">
        <v>48</v>
      </c>
      <c r="T50" s="28">
        <v>30</v>
      </c>
      <c r="U50" s="28">
        <v>24</v>
      </c>
      <c r="V50" s="28">
        <v>42</v>
      </c>
      <c r="W50" s="28">
        <v>65</v>
      </c>
      <c r="X50" s="28">
        <v>27</v>
      </c>
      <c r="Y50" s="28">
        <v>24</v>
      </c>
      <c r="Z50" s="28">
        <v>47</v>
      </c>
      <c r="AA50" s="13">
        <v>68</v>
      </c>
      <c r="AB50" s="13">
        <v>18</v>
      </c>
      <c r="AC50" s="13">
        <v>16</v>
      </c>
      <c r="AD50" s="13">
        <v>41</v>
      </c>
      <c r="AE50" s="13">
        <v>30</v>
      </c>
      <c r="AF50" s="13">
        <v>28</v>
      </c>
      <c r="AG50" s="13">
        <v>23</v>
      </c>
      <c r="AH50" s="13">
        <v>33</v>
      </c>
      <c r="AI50" s="13">
        <v>59</v>
      </c>
      <c r="AJ50" s="13">
        <v>43</v>
      </c>
      <c r="AK50" s="13">
        <v>32</v>
      </c>
      <c r="AL50" s="13">
        <v>53</v>
      </c>
      <c r="AM50" s="13">
        <v>77</v>
      </c>
      <c r="AN50" s="62">
        <v>46</v>
      </c>
      <c r="AO50" s="62">
        <v>22</v>
      </c>
      <c r="AP50" s="62">
        <v>60</v>
      </c>
      <c r="AQ50" s="62">
        <v>89</v>
      </c>
      <c r="AR50" s="62">
        <v>60</v>
      </c>
      <c r="AS50" s="62">
        <v>27</v>
      </c>
      <c r="AT50" s="62">
        <v>77</v>
      </c>
      <c r="AU50" s="62">
        <v>65</v>
      </c>
      <c r="AV50" s="62">
        <v>41</v>
      </c>
      <c r="AW50" s="62">
        <v>44</v>
      </c>
      <c r="AX50" s="62">
        <v>79</v>
      </c>
      <c r="AY50" s="62"/>
      <c r="AZ50" s="62"/>
      <c r="BA50" s="62"/>
    </row>
    <row r="51" spans="1:53" ht="15" customHeight="1" outlineLevel="1" x14ac:dyDescent="0.25">
      <c r="A51" s="66"/>
      <c r="B51" s="60" t="s">
        <v>56</v>
      </c>
      <c r="C51" s="28">
        <v>205</v>
      </c>
      <c r="D51" s="28">
        <v>71</v>
      </c>
      <c r="E51" s="28">
        <v>59</v>
      </c>
      <c r="F51" s="28">
        <v>87</v>
      </c>
      <c r="G51" s="28">
        <v>195</v>
      </c>
      <c r="H51" s="28">
        <v>136</v>
      </c>
      <c r="I51" s="28">
        <v>155</v>
      </c>
      <c r="J51" s="28">
        <v>149</v>
      </c>
      <c r="K51" s="28">
        <v>219</v>
      </c>
      <c r="L51" s="28">
        <v>164</v>
      </c>
      <c r="M51" s="28">
        <v>152</v>
      </c>
      <c r="N51" s="28">
        <v>172</v>
      </c>
      <c r="O51" s="28">
        <v>189</v>
      </c>
      <c r="P51" s="28">
        <v>130</v>
      </c>
      <c r="Q51" s="28">
        <v>113</v>
      </c>
      <c r="R51" s="28">
        <v>211</v>
      </c>
      <c r="S51" s="28">
        <v>193</v>
      </c>
      <c r="T51" s="28">
        <v>148</v>
      </c>
      <c r="U51" s="28">
        <v>175</v>
      </c>
      <c r="V51" s="28">
        <v>186</v>
      </c>
      <c r="W51" s="28">
        <v>186</v>
      </c>
      <c r="X51" s="28">
        <v>109</v>
      </c>
      <c r="Y51" s="28">
        <v>215</v>
      </c>
      <c r="Z51" s="28">
        <v>202</v>
      </c>
      <c r="AA51" s="13">
        <v>171</v>
      </c>
      <c r="AB51" s="13">
        <v>187</v>
      </c>
      <c r="AC51" s="13">
        <v>178</v>
      </c>
      <c r="AD51" s="13">
        <v>160</v>
      </c>
      <c r="AE51" s="13">
        <v>188</v>
      </c>
      <c r="AF51" s="13">
        <v>153</v>
      </c>
      <c r="AG51" s="13">
        <v>193</v>
      </c>
      <c r="AH51" s="13">
        <v>168</v>
      </c>
      <c r="AI51" s="13">
        <v>171</v>
      </c>
      <c r="AJ51" s="13">
        <v>183</v>
      </c>
      <c r="AK51" s="13">
        <v>233</v>
      </c>
      <c r="AL51" s="13">
        <v>191</v>
      </c>
      <c r="AM51" s="13">
        <v>169</v>
      </c>
      <c r="AN51" s="62">
        <v>181</v>
      </c>
      <c r="AO51" s="62">
        <v>231</v>
      </c>
      <c r="AP51" s="62">
        <v>218</v>
      </c>
      <c r="AQ51" s="74">
        <v>194</v>
      </c>
      <c r="AR51" s="74">
        <v>118</v>
      </c>
      <c r="AS51" s="74">
        <v>240</v>
      </c>
      <c r="AT51" s="74">
        <v>221</v>
      </c>
      <c r="AU51" s="74">
        <v>225</v>
      </c>
      <c r="AV51" s="62">
        <v>163</v>
      </c>
      <c r="AW51" s="62">
        <v>239</v>
      </c>
      <c r="AX51" s="62">
        <v>188</v>
      </c>
      <c r="AY51" s="62"/>
      <c r="AZ51" s="62"/>
      <c r="BA51" s="62"/>
    </row>
    <row r="52" spans="1:53" ht="15" customHeight="1" outlineLevel="1" x14ac:dyDescent="0.25">
      <c r="A52" s="66"/>
      <c r="B52" s="106" t="s">
        <v>231</v>
      </c>
      <c r="C52" s="109">
        <f t="shared" ref="C52:AW52" si="12">SUM(C50:C51)</f>
        <v>221</v>
      </c>
      <c r="D52" s="109">
        <f t="shared" si="12"/>
        <v>76</v>
      </c>
      <c r="E52" s="109">
        <f t="shared" si="12"/>
        <v>70</v>
      </c>
      <c r="F52" s="109">
        <f t="shared" si="12"/>
        <v>116</v>
      </c>
      <c r="G52" s="109">
        <f t="shared" si="12"/>
        <v>288</v>
      </c>
      <c r="H52" s="109">
        <f t="shared" si="12"/>
        <v>194</v>
      </c>
      <c r="I52" s="109">
        <f t="shared" si="12"/>
        <v>202</v>
      </c>
      <c r="J52" s="109">
        <f t="shared" si="12"/>
        <v>203</v>
      </c>
      <c r="K52" s="109">
        <f t="shared" si="12"/>
        <v>307</v>
      </c>
      <c r="L52" s="109">
        <f t="shared" si="12"/>
        <v>205</v>
      </c>
      <c r="M52" s="109">
        <f t="shared" si="12"/>
        <v>177</v>
      </c>
      <c r="N52" s="109">
        <f t="shared" si="12"/>
        <v>221</v>
      </c>
      <c r="O52" s="109">
        <f t="shared" si="12"/>
        <v>245</v>
      </c>
      <c r="P52" s="109">
        <f t="shared" si="12"/>
        <v>147</v>
      </c>
      <c r="Q52" s="109">
        <f t="shared" si="12"/>
        <v>140</v>
      </c>
      <c r="R52" s="109">
        <f t="shared" si="12"/>
        <v>262</v>
      </c>
      <c r="S52" s="109">
        <f t="shared" si="12"/>
        <v>241</v>
      </c>
      <c r="T52" s="109">
        <f t="shared" si="12"/>
        <v>178</v>
      </c>
      <c r="U52" s="109">
        <f t="shared" si="12"/>
        <v>199</v>
      </c>
      <c r="V52" s="109">
        <f t="shared" si="12"/>
        <v>228</v>
      </c>
      <c r="W52" s="109">
        <f t="shared" si="12"/>
        <v>251</v>
      </c>
      <c r="X52" s="109">
        <f t="shared" si="12"/>
        <v>136</v>
      </c>
      <c r="Y52" s="109">
        <f t="shared" si="12"/>
        <v>239</v>
      </c>
      <c r="Z52" s="109">
        <f t="shared" si="12"/>
        <v>249</v>
      </c>
      <c r="AA52" s="109">
        <f t="shared" si="12"/>
        <v>239</v>
      </c>
      <c r="AB52" s="109">
        <f t="shared" si="12"/>
        <v>205</v>
      </c>
      <c r="AC52" s="109">
        <f t="shared" si="12"/>
        <v>194</v>
      </c>
      <c r="AD52" s="109">
        <f t="shared" si="12"/>
        <v>201</v>
      </c>
      <c r="AE52" s="109">
        <f t="shared" si="12"/>
        <v>218</v>
      </c>
      <c r="AF52" s="109">
        <f t="shared" si="12"/>
        <v>181</v>
      </c>
      <c r="AG52" s="109">
        <f t="shared" si="12"/>
        <v>216</v>
      </c>
      <c r="AH52" s="109">
        <f t="shared" si="12"/>
        <v>201</v>
      </c>
      <c r="AI52" s="109">
        <f t="shared" si="12"/>
        <v>230</v>
      </c>
      <c r="AJ52" s="109">
        <f t="shared" si="12"/>
        <v>226</v>
      </c>
      <c r="AK52" s="109">
        <f t="shared" si="12"/>
        <v>265</v>
      </c>
      <c r="AL52" s="109">
        <f t="shared" si="12"/>
        <v>244</v>
      </c>
      <c r="AM52" s="109">
        <f t="shared" si="12"/>
        <v>246</v>
      </c>
      <c r="AN52" s="109">
        <f t="shared" si="12"/>
        <v>227</v>
      </c>
      <c r="AO52" s="109">
        <f t="shared" si="12"/>
        <v>253</v>
      </c>
      <c r="AP52" s="109">
        <f t="shared" si="12"/>
        <v>278</v>
      </c>
      <c r="AQ52" s="109">
        <f t="shared" si="12"/>
        <v>283</v>
      </c>
      <c r="AR52" s="109">
        <f t="shared" si="12"/>
        <v>178</v>
      </c>
      <c r="AS52" s="109">
        <f t="shared" si="12"/>
        <v>267</v>
      </c>
      <c r="AT52" s="109">
        <f t="shared" si="12"/>
        <v>298</v>
      </c>
      <c r="AU52" s="109">
        <f t="shared" si="12"/>
        <v>290</v>
      </c>
      <c r="AV52" s="109">
        <f t="shared" si="12"/>
        <v>204</v>
      </c>
      <c r="AW52" s="109">
        <f t="shared" si="12"/>
        <v>283</v>
      </c>
      <c r="AX52" s="109">
        <f>SUM(AX50:AX51)</f>
        <v>267</v>
      </c>
      <c r="AY52" s="109">
        <v>266</v>
      </c>
      <c r="AZ52" s="109">
        <v>308</v>
      </c>
      <c r="BA52" s="109">
        <v>268</v>
      </c>
    </row>
    <row r="53" spans="1:53" ht="15" customHeight="1" outlineLevel="1" x14ac:dyDescent="0.25">
      <c r="A53" s="66"/>
      <c r="B53" s="60" t="s">
        <v>191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>
        <v>7</v>
      </c>
      <c r="AP53" s="1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2">
        <v>8</v>
      </c>
      <c r="AW53" s="62">
        <v>13</v>
      </c>
      <c r="AX53" s="62">
        <v>0</v>
      </c>
      <c r="AY53" s="62"/>
      <c r="AZ53" s="62"/>
      <c r="BA53" s="62"/>
    </row>
    <row r="54" spans="1:53" ht="15" customHeight="1" outlineLevel="1" x14ac:dyDescent="0.25">
      <c r="A54" s="66"/>
      <c r="B54" s="107" t="s">
        <v>232</v>
      </c>
      <c r="C54" s="109">
        <f t="shared" ref="C54:AT54" si="13">SUM(C53)</f>
        <v>0</v>
      </c>
      <c r="D54" s="109">
        <f t="shared" si="13"/>
        <v>0</v>
      </c>
      <c r="E54" s="109">
        <f t="shared" si="13"/>
        <v>0</v>
      </c>
      <c r="F54" s="109">
        <f t="shared" si="13"/>
        <v>0</v>
      </c>
      <c r="G54" s="109">
        <f t="shared" si="13"/>
        <v>0</v>
      </c>
      <c r="H54" s="109">
        <f t="shared" si="13"/>
        <v>0</v>
      </c>
      <c r="I54" s="109">
        <f t="shared" si="13"/>
        <v>0</v>
      </c>
      <c r="J54" s="109">
        <f t="shared" si="13"/>
        <v>0</v>
      </c>
      <c r="K54" s="109">
        <f t="shared" si="13"/>
        <v>0</v>
      </c>
      <c r="L54" s="109">
        <f t="shared" si="13"/>
        <v>0</v>
      </c>
      <c r="M54" s="109">
        <f t="shared" si="13"/>
        <v>0</v>
      </c>
      <c r="N54" s="109">
        <f t="shared" si="13"/>
        <v>0</v>
      </c>
      <c r="O54" s="109">
        <f t="shared" si="13"/>
        <v>0</v>
      </c>
      <c r="P54" s="109">
        <f t="shared" si="13"/>
        <v>0</v>
      </c>
      <c r="Q54" s="109">
        <f t="shared" si="13"/>
        <v>0</v>
      </c>
      <c r="R54" s="109">
        <f t="shared" si="13"/>
        <v>0</v>
      </c>
      <c r="S54" s="109">
        <f t="shared" si="13"/>
        <v>0</v>
      </c>
      <c r="T54" s="109">
        <f t="shared" si="13"/>
        <v>0</v>
      </c>
      <c r="U54" s="109">
        <f t="shared" si="13"/>
        <v>0</v>
      </c>
      <c r="V54" s="109">
        <f t="shared" si="13"/>
        <v>0</v>
      </c>
      <c r="W54" s="109">
        <f t="shared" si="13"/>
        <v>0</v>
      </c>
      <c r="X54" s="109">
        <f t="shared" si="13"/>
        <v>0</v>
      </c>
      <c r="Y54" s="109">
        <f t="shared" si="13"/>
        <v>0</v>
      </c>
      <c r="Z54" s="109">
        <f t="shared" si="13"/>
        <v>0</v>
      </c>
      <c r="AA54" s="109">
        <f t="shared" si="13"/>
        <v>0</v>
      </c>
      <c r="AB54" s="109">
        <f t="shared" si="13"/>
        <v>0</v>
      </c>
      <c r="AC54" s="109">
        <f t="shared" si="13"/>
        <v>0</v>
      </c>
      <c r="AD54" s="109">
        <f t="shared" si="13"/>
        <v>0</v>
      </c>
      <c r="AE54" s="109">
        <f t="shared" si="13"/>
        <v>0</v>
      </c>
      <c r="AF54" s="109">
        <f t="shared" si="13"/>
        <v>0</v>
      </c>
      <c r="AG54" s="109">
        <f t="shared" si="13"/>
        <v>0</v>
      </c>
      <c r="AH54" s="109">
        <f t="shared" si="13"/>
        <v>0</v>
      </c>
      <c r="AI54" s="109">
        <f t="shared" si="13"/>
        <v>0</v>
      </c>
      <c r="AJ54" s="109">
        <f t="shared" si="13"/>
        <v>0</v>
      </c>
      <c r="AK54" s="109">
        <f t="shared" si="13"/>
        <v>0</v>
      </c>
      <c r="AL54" s="109">
        <f t="shared" si="13"/>
        <v>0</v>
      </c>
      <c r="AM54" s="109">
        <f t="shared" si="13"/>
        <v>0</v>
      </c>
      <c r="AN54" s="109">
        <f t="shared" si="13"/>
        <v>0</v>
      </c>
      <c r="AO54" s="109">
        <f t="shared" si="13"/>
        <v>7</v>
      </c>
      <c r="AP54" s="109">
        <f t="shared" si="13"/>
        <v>3</v>
      </c>
      <c r="AQ54" s="109">
        <f t="shared" si="13"/>
        <v>2</v>
      </c>
      <c r="AR54" s="109">
        <f t="shared" si="13"/>
        <v>2</v>
      </c>
      <c r="AS54" s="109">
        <f t="shared" si="13"/>
        <v>2</v>
      </c>
      <c r="AT54" s="109">
        <f t="shared" si="13"/>
        <v>3</v>
      </c>
      <c r="AU54" s="90">
        <f>SUM(AU53)+2</f>
        <v>6</v>
      </c>
      <c r="AV54" s="109">
        <v>12</v>
      </c>
      <c r="AW54" s="109">
        <v>17</v>
      </c>
      <c r="AX54" s="109">
        <f>SUM(AX53)</f>
        <v>0</v>
      </c>
      <c r="AY54" s="109">
        <v>12</v>
      </c>
      <c r="AZ54" s="109">
        <v>13</v>
      </c>
      <c r="BA54" s="109">
        <v>24</v>
      </c>
    </row>
    <row r="55" spans="1:53" ht="15" customHeight="1" outlineLevel="1" x14ac:dyDescent="0.25">
      <c r="A55" s="66"/>
      <c r="B55" s="6" t="s">
        <v>57</v>
      </c>
      <c r="C55" s="26">
        <v>0.76</v>
      </c>
      <c r="D55" s="26">
        <v>0.45</v>
      </c>
      <c r="E55" s="26">
        <v>0.55000000000000004</v>
      </c>
      <c r="F55" s="26">
        <v>0.3</v>
      </c>
      <c r="G55" s="26">
        <v>0.97</v>
      </c>
      <c r="H55" s="26">
        <v>0.84</v>
      </c>
      <c r="I55" s="26">
        <v>0.88</v>
      </c>
      <c r="J55" s="26">
        <v>0.77</v>
      </c>
      <c r="K55" s="26">
        <v>0.96</v>
      </c>
      <c r="L55" s="26">
        <v>0.9</v>
      </c>
      <c r="M55" s="26">
        <v>0.71</v>
      </c>
      <c r="N55" s="26">
        <v>0.88</v>
      </c>
      <c r="O55" s="26">
        <v>0.78</v>
      </c>
      <c r="P55" s="26">
        <v>0.69</v>
      </c>
      <c r="Q55" s="26">
        <v>0.69</v>
      </c>
      <c r="R55" s="26">
        <v>0.94</v>
      </c>
      <c r="S55" s="26">
        <v>0.81</v>
      </c>
      <c r="T55" s="26">
        <v>0.77</v>
      </c>
      <c r="U55" s="26">
        <v>0.8</v>
      </c>
      <c r="V55" s="26">
        <v>0.83</v>
      </c>
      <c r="W55" s="26">
        <v>0.86</v>
      </c>
      <c r="X55" s="26">
        <v>0.7</v>
      </c>
      <c r="Y55" s="26">
        <v>0.89</v>
      </c>
      <c r="Z55" s="26">
        <v>0.88</v>
      </c>
      <c r="AA55" s="26">
        <v>0.75</v>
      </c>
      <c r="AB55" s="26">
        <v>0.81</v>
      </c>
      <c r="AC55" s="26">
        <v>0.78</v>
      </c>
      <c r="AD55" s="26">
        <v>0.79</v>
      </c>
      <c r="AE55" s="26">
        <v>0.79</v>
      </c>
      <c r="AF55" s="26">
        <v>0.74</v>
      </c>
      <c r="AG55" s="26">
        <v>0.83</v>
      </c>
      <c r="AH55" s="26">
        <v>0.76</v>
      </c>
      <c r="AI55" s="26">
        <v>0.55000000000000004</v>
      </c>
      <c r="AJ55" s="26">
        <v>0.6</v>
      </c>
      <c r="AK55" s="26">
        <v>0.88</v>
      </c>
      <c r="AL55" s="68">
        <v>0.7</v>
      </c>
      <c r="AM55" s="68">
        <v>0.8</v>
      </c>
      <c r="AN55" s="26">
        <v>0.79</v>
      </c>
      <c r="AO55" s="26">
        <v>0.88</v>
      </c>
      <c r="AP55" s="26">
        <v>0.92</v>
      </c>
      <c r="AQ55" s="26">
        <v>0.89</v>
      </c>
      <c r="AR55" s="26">
        <v>0.65</v>
      </c>
      <c r="AS55" s="26">
        <v>0.88</v>
      </c>
      <c r="AT55" s="26">
        <v>0.95</v>
      </c>
      <c r="AU55" s="26">
        <v>0.9</v>
      </c>
      <c r="AV55" s="26">
        <v>0.7</v>
      </c>
      <c r="AW55" s="26">
        <v>0.98</v>
      </c>
      <c r="AX55" s="26">
        <v>0.85</v>
      </c>
      <c r="AY55" s="26">
        <v>0.77</v>
      </c>
      <c r="AZ55" s="26">
        <v>0.98</v>
      </c>
      <c r="BA55" s="26">
        <v>0.94</v>
      </c>
    </row>
    <row r="56" spans="1:53" ht="15" customHeight="1" outlineLevel="1" x14ac:dyDescent="0.25">
      <c r="A56" s="66"/>
      <c r="B56" s="23" t="s">
        <v>60</v>
      </c>
      <c r="C56" s="24">
        <f t="shared" ref="C56:AX56" si="14">C61+C64+C65</f>
        <v>43</v>
      </c>
      <c r="D56" s="24">
        <f t="shared" si="14"/>
        <v>60</v>
      </c>
      <c r="E56" s="24">
        <f t="shared" si="14"/>
        <v>126</v>
      </c>
      <c r="F56" s="24">
        <f t="shared" si="14"/>
        <v>134</v>
      </c>
      <c r="G56" s="24">
        <f t="shared" si="14"/>
        <v>80</v>
      </c>
      <c r="H56" s="24">
        <f t="shared" si="14"/>
        <v>223</v>
      </c>
      <c r="I56" s="24">
        <f t="shared" si="14"/>
        <v>70</v>
      </c>
      <c r="J56" s="24">
        <f t="shared" si="14"/>
        <v>48</v>
      </c>
      <c r="K56" s="24">
        <f t="shared" si="14"/>
        <v>41</v>
      </c>
      <c r="L56" s="24">
        <f t="shared" si="14"/>
        <v>78</v>
      </c>
      <c r="M56" s="24">
        <f t="shared" si="14"/>
        <v>58</v>
      </c>
      <c r="N56" s="24">
        <f t="shared" si="14"/>
        <v>66</v>
      </c>
      <c r="O56" s="24">
        <f t="shared" si="14"/>
        <v>27</v>
      </c>
      <c r="P56" s="24">
        <f t="shared" si="14"/>
        <v>68</v>
      </c>
      <c r="Q56" s="24">
        <f t="shared" si="14"/>
        <v>67</v>
      </c>
      <c r="R56" s="24">
        <f t="shared" si="14"/>
        <v>56</v>
      </c>
      <c r="S56" s="24">
        <f t="shared" si="14"/>
        <v>9</v>
      </c>
      <c r="T56" s="24">
        <f t="shared" si="14"/>
        <v>41</v>
      </c>
      <c r="U56" s="24">
        <f t="shared" si="14"/>
        <v>33</v>
      </c>
      <c r="V56" s="24">
        <f t="shared" si="14"/>
        <v>76</v>
      </c>
      <c r="W56" s="24">
        <f t="shared" si="14"/>
        <v>20</v>
      </c>
      <c r="X56" s="24">
        <f t="shared" si="14"/>
        <v>59</v>
      </c>
      <c r="Y56" s="24">
        <f t="shared" si="14"/>
        <v>64</v>
      </c>
      <c r="Z56" s="24">
        <f t="shared" si="14"/>
        <v>83</v>
      </c>
      <c r="AA56" s="24">
        <f t="shared" si="14"/>
        <v>15</v>
      </c>
      <c r="AB56" s="24">
        <f t="shared" si="14"/>
        <v>198</v>
      </c>
      <c r="AC56" s="24">
        <f t="shared" si="14"/>
        <v>75</v>
      </c>
      <c r="AD56" s="24">
        <f t="shared" si="14"/>
        <v>65</v>
      </c>
      <c r="AE56" s="24">
        <f t="shared" si="14"/>
        <v>36</v>
      </c>
      <c r="AF56" s="24">
        <f t="shared" si="14"/>
        <v>56</v>
      </c>
      <c r="AG56" s="24">
        <f t="shared" si="14"/>
        <v>101</v>
      </c>
      <c r="AH56" s="24">
        <f t="shared" si="14"/>
        <v>64</v>
      </c>
      <c r="AI56" s="24">
        <f t="shared" si="14"/>
        <v>100</v>
      </c>
      <c r="AJ56" s="24">
        <f t="shared" si="14"/>
        <v>120</v>
      </c>
      <c r="AK56" s="24">
        <f t="shared" si="14"/>
        <v>201</v>
      </c>
      <c r="AL56" s="24">
        <f t="shared" si="14"/>
        <v>156</v>
      </c>
      <c r="AM56" s="24">
        <f t="shared" si="14"/>
        <v>97</v>
      </c>
      <c r="AN56" s="24">
        <f t="shared" si="14"/>
        <v>104</v>
      </c>
      <c r="AO56" s="24">
        <f t="shared" si="14"/>
        <v>218</v>
      </c>
      <c r="AP56" s="24">
        <f t="shared" si="14"/>
        <v>99</v>
      </c>
      <c r="AQ56" s="24">
        <f t="shared" si="14"/>
        <v>60</v>
      </c>
      <c r="AR56" s="24">
        <f t="shared" si="14"/>
        <v>62</v>
      </c>
      <c r="AS56" s="24">
        <f t="shared" si="14"/>
        <v>156</v>
      </c>
      <c r="AT56" s="24">
        <f t="shared" si="14"/>
        <v>137</v>
      </c>
      <c r="AU56" s="24">
        <f t="shared" si="14"/>
        <v>207</v>
      </c>
      <c r="AV56" s="24">
        <f t="shared" si="14"/>
        <v>30</v>
      </c>
      <c r="AW56" s="24">
        <f t="shared" si="14"/>
        <v>177</v>
      </c>
      <c r="AX56" s="24">
        <f t="shared" si="14"/>
        <v>154</v>
      </c>
      <c r="AY56" s="24">
        <f>AY61+AY64+AY65</f>
        <v>118</v>
      </c>
      <c r="AZ56" s="24">
        <f>AZ61+AZ64+AZ65</f>
        <v>127</v>
      </c>
      <c r="BA56" s="24">
        <f>BA61+BA64+BA65</f>
        <v>152</v>
      </c>
    </row>
    <row r="57" spans="1:53" ht="15" customHeight="1" outlineLevel="1" x14ac:dyDescent="0.25">
      <c r="A57" s="66"/>
      <c r="B57" s="99" t="s">
        <v>53</v>
      </c>
      <c r="C57" s="28">
        <v>6</v>
      </c>
      <c r="D57" s="28">
        <v>17</v>
      </c>
      <c r="E57" s="28">
        <v>11</v>
      </c>
      <c r="F57" s="28">
        <v>15</v>
      </c>
      <c r="G57" s="28">
        <v>5</v>
      </c>
      <c r="H57" s="28">
        <v>38</v>
      </c>
      <c r="I57" s="28">
        <v>32</v>
      </c>
      <c r="J57" s="28">
        <v>8</v>
      </c>
      <c r="K57" s="28">
        <v>11</v>
      </c>
      <c r="L57" s="28">
        <v>20</v>
      </c>
      <c r="M57" s="28">
        <v>27</v>
      </c>
      <c r="N57" s="28">
        <v>24</v>
      </c>
      <c r="O57" s="28">
        <v>13</v>
      </c>
      <c r="P57" s="28">
        <v>16</v>
      </c>
      <c r="Q57" s="28">
        <v>28</v>
      </c>
      <c r="R57" s="28">
        <v>30</v>
      </c>
      <c r="S57" s="28">
        <v>0</v>
      </c>
      <c r="T57" s="28">
        <v>4</v>
      </c>
      <c r="U57" s="28">
        <v>23</v>
      </c>
      <c r="V57" s="28">
        <v>22</v>
      </c>
      <c r="W57" s="28">
        <v>4</v>
      </c>
      <c r="X57" s="28">
        <v>15</v>
      </c>
      <c r="Y57" s="28">
        <v>16</v>
      </c>
      <c r="Z57" s="28">
        <v>28</v>
      </c>
      <c r="AA57" s="13">
        <v>7</v>
      </c>
      <c r="AB57" s="13">
        <v>25</v>
      </c>
      <c r="AC57" s="13">
        <v>16</v>
      </c>
      <c r="AD57" s="13">
        <v>17</v>
      </c>
      <c r="AE57" s="13">
        <v>14</v>
      </c>
      <c r="AF57" s="13">
        <v>0</v>
      </c>
      <c r="AG57" s="13">
        <v>42</v>
      </c>
      <c r="AH57" s="13">
        <v>0</v>
      </c>
      <c r="AI57" s="13">
        <v>0</v>
      </c>
      <c r="AJ57" s="13">
        <v>43</v>
      </c>
      <c r="AK57" s="13">
        <v>78</v>
      </c>
      <c r="AL57" s="13">
        <v>71</v>
      </c>
      <c r="AM57" s="13">
        <v>53</v>
      </c>
      <c r="AN57" s="62">
        <v>55</v>
      </c>
      <c r="AO57" s="62">
        <v>97</v>
      </c>
      <c r="AP57" s="62">
        <v>20</v>
      </c>
      <c r="AQ57" s="62">
        <v>20</v>
      </c>
      <c r="AR57" s="62">
        <v>26</v>
      </c>
      <c r="AS57" s="62">
        <v>65</v>
      </c>
      <c r="AT57" s="62">
        <v>54</v>
      </c>
      <c r="AU57" s="62">
        <v>17</v>
      </c>
      <c r="AV57" s="62">
        <v>8</v>
      </c>
      <c r="AW57" s="62">
        <v>84</v>
      </c>
      <c r="AX57" s="62">
        <v>49</v>
      </c>
      <c r="AY57" s="62"/>
    </row>
    <row r="58" spans="1:53" ht="15" customHeight="1" outlineLevel="1" x14ac:dyDescent="0.25">
      <c r="A58" s="66"/>
      <c r="B58" s="99" t="s">
        <v>54</v>
      </c>
      <c r="C58" s="28">
        <v>8</v>
      </c>
      <c r="D58" s="28">
        <v>19</v>
      </c>
      <c r="E58" s="28">
        <v>61</v>
      </c>
      <c r="F58" s="28">
        <v>38</v>
      </c>
      <c r="G58" s="28">
        <v>26</v>
      </c>
      <c r="H58" s="28">
        <v>92</v>
      </c>
      <c r="I58" s="28">
        <v>36</v>
      </c>
      <c r="J58" s="28">
        <v>40</v>
      </c>
      <c r="K58" s="28">
        <v>21</v>
      </c>
      <c r="L58" s="28">
        <v>37</v>
      </c>
      <c r="M58" s="28">
        <v>20</v>
      </c>
      <c r="N58" s="28">
        <v>42</v>
      </c>
      <c r="O58" s="28">
        <v>9</v>
      </c>
      <c r="P58" s="28">
        <v>23</v>
      </c>
      <c r="Q58" s="28">
        <v>18</v>
      </c>
      <c r="R58" s="28">
        <v>25</v>
      </c>
      <c r="S58" s="28">
        <v>9</v>
      </c>
      <c r="T58" s="28">
        <v>35</v>
      </c>
      <c r="U58" s="28">
        <v>10</v>
      </c>
      <c r="V58" s="28">
        <v>43</v>
      </c>
      <c r="W58" s="28">
        <v>14</v>
      </c>
      <c r="X58" s="28">
        <v>27</v>
      </c>
      <c r="Y58" s="28">
        <v>28</v>
      </c>
      <c r="Z58" s="28">
        <v>55</v>
      </c>
      <c r="AA58" s="13">
        <v>8</v>
      </c>
      <c r="AB58" s="13">
        <v>53</v>
      </c>
      <c r="AC58" s="13">
        <v>53</v>
      </c>
      <c r="AD58" s="13">
        <v>48</v>
      </c>
      <c r="AE58" s="13">
        <v>22</v>
      </c>
      <c r="AF58" s="13">
        <v>56</v>
      </c>
      <c r="AG58" s="13">
        <v>59</v>
      </c>
      <c r="AH58" s="13">
        <v>64</v>
      </c>
      <c r="AI58" s="13">
        <v>54</v>
      </c>
      <c r="AJ58" s="13">
        <v>61</v>
      </c>
      <c r="AK58" s="13">
        <v>123</v>
      </c>
      <c r="AL58" s="13">
        <v>85</v>
      </c>
      <c r="AM58" s="13">
        <v>44</v>
      </c>
      <c r="AN58" s="62">
        <v>27</v>
      </c>
      <c r="AO58" s="62">
        <v>121</v>
      </c>
      <c r="AP58" s="62">
        <v>79</v>
      </c>
      <c r="AQ58" s="62">
        <v>40</v>
      </c>
      <c r="AR58" s="62">
        <v>36</v>
      </c>
      <c r="AS58" s="62">
        <v>90</v>
      </c>
      <c r="AT58" s="62">
        <v>83</v>
      </c>
      <c r="AU58" s="62">
        <v>153</v>
      </c>
      <c r="AV58" s="62">
        <v>22</v>
      </c>
      <c r="AW58" s="62">
        <v>93</v>
      </c>
      <c r="AX58" s="62">
        <v>105</v>
      </c>
      <c r="AY58" s="62"/>
    </row>
    <row r="59" spans="1:53" ht="15" customHeight="1" outlineLevel="1" x14ac:dyDescent="0.25">
      <c r="A59" s="66"/>
      <c r="B59" s="99" t="s">
        <v>52</v>
      </c>
      <c r="C59" s="28">
        <v>22</v>
      </c>
      <c r="D59" s="28">
        <v>24</v>
      </c>
      <c r="E59" s="28">
        <v>35</v>
      </c>
      <c r="F59" s="28">
        <v>43</v>
      </c>
      <c r="G59" s="28">
        <v>22</v>
      </c>
      <c r="H59" s="28">
        <v>88</v>
      </c>
      <c r="I59" s="13">
        <v>0</v>
      </c>
      <c r="J59" s="13">
        <v>0</v>
      </c>
      <c r="K59" s="28">
        <v>9</v>
      </c>
      <c r="L59" s="28">
        <v>21</v>
      </c>
      <c r="M59" s="13">
        <v>10</v>
      </c>
      <c r="N59" s="13">
        <v>0</v>
      </c>
      <c r="O59" s="13">
        <v>0</v>
      </c>
      <c r="P59" s="13">
        <v>27</v>
      </c>
      <c r="Q59" s="13">
        <v>19</v>
      </c>
      <c r="R59" s="13">
        <v>0</v>
      </c>
      <c r="S59" s="13">
        <v>0</v>
      </c>
      <c r="T59" s="28">
        <v>0</v>
      </c>
      <c r="U59" s="13">
        <v>0</v>
      </c>
      <c r="V59" s="13">
        <v>10</v>
      </c>
      <c r="W59" s="13">
        <v>0</v>
      </c>
      <c r="X59" s="13">
        <v>17</v>
      </c>
      <c r="Y59" s="13">
        <v>20</v>
      </c>
      <c r="Z59" s="13">
        <v>0</v>
      </c>
      <c r="AA59" s="13">
        <v>0</v>
      </c>
      <c r="AB59" s="28">
        <v>75</v>
      </c>
      <c r="AC59" s="28">
        <v>6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3">
        <v>0</v>
      </c>
      <c r="AW59" s="3">
        <v>0</v>
      </c>
      <c r="AX59" s="3">
        <v>0</v>
      </c>
      <c r="AY59" s="3"/>
    </row>
    <row r="60" spans="1:53" ht="15" customHeight="1" outlineLevel="1" x14ac:dyDescent="0.25">
      <c r="A60" s="66"/>
      <c r="B60" s="99" t="s">
        <v>50</v>
      </c>
      <c r="C60" s="28">
        <v>0</v>
      </c>
      <c r="D60" s="13">
        <v>0</v>
      </c>
      <c r="E60" s="13">
        <v>0</v>
      </c>
      <c r="F60" s="28">
        <v>24</v>
      </c>
      <c r="G60" s="28">
        <v>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3">
        <v>0</v>
      </c>
      <c r="AW60" s="3">
        <v>0</v>
      </c>
      <c r="AX60" s="3">
        <v>0</v>
      </c>
      <c r="AY60" s="3"/>
    </row>
    <row r="61" spans="1:53" ht="15" customHeight="1" outlineLevel="1" x14ac:dyDescent="0.25">
      <c r="A61" s="66"/>
      <c r="B61" s="106" t="s">
        <v>230</v>
      </c>
      <c r="C61" s="90">
        <f t="shared" ref="C61:AT61" si="15">SUM(C57:C60)</f>
        <v>36</v>
      </c>
      <c r="D61" s="90">
        <f t="shared" si="15"/>
        <v>60</v>
      </c>
      <c r="E61" s="90">
        <f t="shared" si="15"/>
        <v>107</v>
      </c>
      <c r="F61" s="90">
        <f t="shared" si="15"/>
        <v>120</v>
      </c>
      <c r="G61" s="90">
        <f t="shared" si="15"/>
        <v>61</v>
      </c>
      <c r="H61" s="90">
        <f t="shared" si="15"/>
        <v>218</v>
      </c>
      <c r="I61" s="90">
        <f t="shared" si="15"/>
        <v>68</v>
      </c>
      <c r="J61" s="90">
        <f t="shared" si="15"/>
        <v>48</v>
      </c>
      <c r="K61" s="90">
        <f t="shared" si="15"/>
        <v>41</v>
      </c>
      <c r="L61" s="90">
        <f t="shared" si="15"/>
        <v>78</v>
      </c>
      <c r="M61" s="90">
        <f t="shared" si="15"/>
        <v>57</v>
      </c>
      <c r="N61" s="90">
        <f t="shared" si="15"/>
        <v>66</v>
      </c>
      <c r="O61" s="90">
        <f t="shared" si="15"/>
        <v>22</v>
      </c>
      <c r="P61" s="90">
        <f t="shared" si="15"/>
        <v>66</v>
      </c>
      <c r="Q61" s="90">
        <f t="shared" si="15"/>
        <v>65</v>
      </c>
      <c r="R61" s="90">
        <f t="shared" si="15"/>
        <v>55</v>
      </c>
      <c r="S61" s="90">
        <f t="shared" si="15"/>
        <v>9</v>
      </c>
      <c r="T61" s="90">
        <f t="shared" si="15"/>
        <v>39</v>
      </c>
      <c r="U61" s="90">
        <f t="shared" si="15"/>
        <v>33</v>
      </c>
      <c r="V61" s="90">
        <f t="shared" si="15"/>
        <v>75</v>
      </c>
      <c r="W61" s="90">
        <f t="shared" si="15"/>
        <v>18</v>
      </c>
      <c r="X61" s="90">
        <f t="shared" si="15"/>
        <v>59</v>
      </c>
      <c r="Y61" s="90">
        <f t="shared" si="15"/>
        <v>64</v>
      </c>
      <c r="Z61" s="90">
        <f t="shared" si="15"/>
        <v>83</v>
      </c>
      <c r="AA61" s="90">
        <f t="shared" si="15"/>
        <v>15</v>
      </c>
      <c r="AB61" s="90">
        <f t="shared" si="15"/>
        <v>153</v>
      </c>
      <c r="AC61" s="90">
        <f t="shared" si="15"/>
        <v>75</v>
      </c>
      <c r="AD61" s="90">
        <f t="shared" si="15"/>
        <v>65</v>
      </c>
      <c r="AE61" s="90">
        <f t="shared" si="15"/>
        <v>36</v>
      </c>
      <c r="AF61" s="90">
        <f t="shared" si="15"/>
        <v>56</v>
      </c>
      <c r="AG61" s="90">
        <f t="shared" si="15"/>
        <v>101</v>
      </c>
      <c r="AH61" s="90">
        <f t="shared" si="15"/>
        <v>64</v>
      </c>
      <c r="AI61" s="90">
        <f t="shared" si="15"/>
        <v>54</v>
      </c>
      <c r="AJ61" s="90">
        <f t="shared" si="15"/>
        <v>104</v>
      </c>
      <c r="AK61" s="90">
        <f t="shared" si="15"/>
        <v>201</v>
      </c>
      <c r="AL61" s="90">
        <f t="shared" si="15"/>
        <v>156</v>
      </c>
      <c r="AM61" s="90">
        <f t="shared" si="15"/>
        <v>97</v>
      </c>
      <c r="AN61" s="90">
        <f t="shared" si="15"/>
        <v>82</v>
      </c>
      <c r="AO61" s="90">
        <f t="shared" si="15"/>
        <v>218</v>
      </c>
      <c r="AP61" s="90">
        <f t="shared" si="15"/>
        <v>99</v>
      </c>
      <c r="AQ61" s="90">
        <f t="shared" si="15"/>
        <v>60</v>
      </c>
      <c r="AR61" s="90">
        <f t="shared" si="15"/>
        <v>62</v>
      </c>
      <c r="AS61" s="90">
        <f t="shared" si="15"/>
        <v>155</v>
      </c>
      <c r="AT61" s="90">
        <f t="shared" si="15"/>
        <v>137</v>
      </c>
      <c r="AU61" s="81">
        <v>170</v>
      </c>
      <c r="AV61" s="90">
        <f>SUM(AV57:AV60)</f>
        <v>30</v>
      </c>
      <c r="AW61" s="90">
        <f>SUM(AW57:AW60)</f>
        <v>177</v>
      </c>
      <c r="AX61" s="90">
        <f>SUM(AX57:AX60)</f>
        <v>154</v>
      </c>
      <c r="AY61" s="90">
        <v>118</v>
      </c>
      <c r="AZ61" s="109">
        <v>126</v>
      </c>
      <c r="BA61" s="109">
        <v>152</v>
      </c>
    </row>
    <row r="62" spans="1:53" ht="15" customHeight="1" outlineLevel="1" x14ac:dyDescent="0.25">
      <c r="A62" s="66"/>
      <c r="B62" s="99" t="s">
        <v>55</v>
      </c>
      <c r="C62" s="28">
        <v>0</v>
      </c>
      <c r="D62" s="13">
        <v>0</v>
      </c>
      <c r="E62" s="13">
        <v>0</v>
      </c>
      <c r="F62" s="28">
        <v>0</v>
      </c>
      <c r="G62" s="28">
        <v>16</v>
      </c>
      <c r="H62" s="28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44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46</v>
      </c>
      <c r="AJ62" s="13">
        <v>16</v>
      </c>
      <c r="AK62" s="13">
        <v>0</v>
      </c>
      <c r="AL62" s="13">
        <v>0</v>
      </c>
      <c r="AM62" s="13">
        <v>0</v>
      </c>
      <c r="AN62" s="62">
        <v>22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37</v>
      </c>
      <c r="AV62" s="62">
        <v>0</v>
      </c>
      <c r="AW62" s="62">
        <v>0</v>
      </c>
      <c r="AX62" s="62">
        <v>0</v>
      </c>
      <c r="AY62" s="62"/>
    </row>
    <row r="63" spans="1:53" ht="15" customHeight="1" outlineLevel="1" x14ac:dyDescent="0.25">
      <c r="A63" s="66"/>
      <c r="B63" s="99" t="s">
        <v>56</v>
      </c>
      <c r="C63" s="28">
        <v>0</v>
      </c>
      <c r="D63" s="13">
        <v>0</v>
      </c>
      <c r="E63" s="28">
        <v>19</v>
      </c>
      <c r="F63" s="28">
        <v>14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1</v>
      </c>
      <c r="AT63" s="13">
        <v>0</v>
      </c>
      <c r="AU63" s="13">
        <v>0</v>
      </c>
      <c r="AV63" s="3">
        <v>0</v>
      </c>
      <c r="AW63" s="3">
        <v>0</v>
      </c>
      <c r="AX63" s="3">
        <v>0</v>
      </c>
      <c r="AY63" s="3"/>
    </row>
    <row r="64" spans="1:53" ht="15" customHeight="1" outlineLevel="1" x14ac:dyDescent="0.25">
      <c r="A64" s="66"/>
      <c r="B64" s="106" t="s">
        <v>231</v>
      </c>
      <c r="C64" s="90">
        <f t="shared" ref="C64:AT64" si="16">SUM(C62:C63)</f>
        <v>0</v>
      </c>
      <c r="D64" s="90">
        <f t="shared" si="16"/>
        <v>0</v>
      </c>
      <c r="E64" s="90">
        <f t="shared" si="16"/>
        <v>19</v>
      </c>
      <c r="F64" s="90">
        <f t="shared" si="16"/>
        <v>14</v>
      </c>
      <c r="G64" s="90">
        <f t="shared" si="16"/>
        <v>16</v>
      </c>
      <c r="H64" s="90">
        <f t="shared" si="16"/>
        <v>0</v>
      </c>
      <c r="I64" s="90">
        <f t="shared" si="16"/>
        <v>0</v>
      </c>
      <c r="J64" s="90">
        <f t="shared" si="16"/>
        <v>0</v>
      </c>
      <c r="K64" s="90">
        <f t="shared" si="16"/>
        <v>0</v>
      </c>
      <c r="L64" s="90">
        <f t="shared" si="16"/>
        <v>0</v>
      </c>
      <c r="M64" s="90">
        <f t="shared" si="16"/>
        <v>0</v>
      </c>
      <c r="N64" s="90">
        <f t="shared" si="16"/>
        <v>0</v>
      </c>
      <c r="O64" s="90">
        <f t="shared" si="16"/>
        <v>0</v>
      </c>
      <c r="P64" s="90">
        <f t="shared" si="16"/>
        <v>0</v>
      </c>
      <c r="Q64" s="90">
        <f t="shared" si="16"/>
        <v>0</v>
      </c>
      <c r="R64" s="90">
        <f t="shared" si="16"/>
        <v>0</v>
      </c>
      <c r="S64" s="90">
        <f t="shared" si="16"/>
        <v>0</v>
      </c>
      <c r="T64" s="90">
        <f t="shared" si="16"/>
        <v>0</v>
      </c>
      <c r="U64" s="90">
        <f t="shared" si="16"/>
        <v>0</v>
      </c>
      <c r="V64" s="90">
        <f t="shared" si="16"/>
        <v>0</v>
      </c>
      <c r="W64" s="90">
        <f t="shared" si="16"/>
        <v>0</v>
      </c>
      <c r="X64" s="90">
        <f t="shared" si="16"/>
        <v>0</v>
      </c>
      <c r="Y64" s="90">
        <f t="shared" si="16"/>
        <v>0</v>
      </c>
      <c r="Z64" s="90">
        <f t="shared" si="16"/>
        <v>0</v>
      </c>
      <c r="AA64" s="90">
        <f t="shared" si="16"/>
        <v>0</v>
      </c>
      <c r="AB64" s="90">
        <f t="shared" si="16"/>
        <v>44</v>
      </c>
      <c r="AC64" s="90">
        <f t="shared" si="16"/>
        <v>0</v>
      </c>
      <c r="AD64" s="90">
        <f t="shared" si="16"/>
        <v>0</v>
      </c>
      <c r="AE64" s="90">
        <f t="shared" si="16"/>
        <v>0</v>
      </c>
      <c r="AF64" s="90">
        <f t="shared" si="16"/>
        <v>0</v>
      </c>
      <c r="AG64" s="90">
        <f t="shared" si="16"/>
        <v>0</v>
      </c>
      <c r="AH64" s="90">
        <f t="shared" si="16"/>
        <v>0</v>
      </c>
      <c r="AI64" s="90">
        <f t="shared" si="16"/>
        <v>46</v>
      </c>
      <c r="AJ64" s="90">
        <f t="shared" si="16"/>
        <v>16</v>
      </c>
      <c r="AK64" s="90">
        <f t="shared" si="16"/>
        <v>0</v>
      </c>
      <c r="AL64" s="90">
        <f t="shared" si="16"/>
        <v>0</v>
      </c>
      <c r="AM64" s="90">
        <f t="shared" si="16"/>
        <v>0</v>
      </c>
      <c r="AN64" s="90">
        <f t="shared" si="16"/>
        <v>22</v>
      </c>
      <c r="AO64" s="90">
        <f t="shared" si="16"/>
        <v>0</v>
      </c>
      <c r="AP64" s="90">
        <f t="shared" si="16"/>
        <v>0</v>
      </c>
      <c r="AQ64" s="90">
        <f t="shared" si="16"/>
        <v>0</v>
      </c>
      <c r="AR64" s="90">
        <f t="shared" si="16"/>
        <v>0</v>
      </c>
      <c r="AS64" s="90">
        <f t="shared" si="16"/>
        <v>1</v>
      </c>
      <c r="AT64" s="90">
        <f t="shared" si="16"/>
        <v>0</v>
      </c>
      <c r="AU64" s="81">
        <v>37</v>
      </c>
      <c r="AV64" s="90">
        <f>SUM(AV62:AV63)</f>
        <v>0</v>
      </c>
      <c r="AW64" s="90">
        <f>SUM(AW62:AW63)</f>
        <v>0</v>
      </c>
      <c r="AX64" s="90">
        <f>SUM(AX62:AX63)</f>
        <v>0</v>
      </c>
      <c r="AY64" s="90">
        <v>0</v>
      </c>
      <c r="AZ64" s="109">
        <v>1</v>
      </c>
      <c r="BA64" s="109">
        <v>0</v>
      </c>
    </row>
    <row r="65" spans="1:53" ht="15" customHeight="1" outlineLevel="1" x14ac:dyDescent="0.25">
      <c r="B65" s="107" t="s">
        <v>232</v>
      </c>
      <c r="C65" s="112">
        <v>7</v>
      </c>
      <c r="D65" s="112">
        <v>0</v>
      </c>
      <c r="E65" s="112">
        <v>0</v>
      </c>
      <c r="F65" s="112">
        <v>0</v>
      </c>
      <c r="G65" s="112">
        <v>3</v>
      </c>
      <c r="H65" s="112">
        <v>5</v>
      </c>
      <c r="I65" s="112">
        <v>2</v>
      </c>
      <c r="J65" s="112">
        <v>0</v>
      </c>
      <c r="K65" s="112">
        <v>0</v>
      </c>
      <c r="L65" s="112">
        <v>0</v>
      </c>
      <c r="M65" s="112">
        <v>1</v>
      </c>
      <c r="N65" s="112">
        <v>0</v>
      </c>
      <c r="O65" s="112">
        <v>5</v>
      </c>
      <c r="P65" s="112">
        <v>2</v>
      </c>
      <c r="Q65" s="112">
        <v>2</v>
      </c>
      <c r="R65" s="112">
        <v>1</v>
      </c>
      <c r="S65" s="112">
        <v>0</v>
      </c>
      <c r="T65" s="112">
        <v>2</v>
      </c>
      <c r="U65" s="113">
        <v>0</v>
      </c>
      <c r="V65" s="113">
        <v>1</v>
      </c>
      <c r="W65" s="113">
        <v>2</v>
      </c>
      <c r="X65" s="113">
        <v>0</v>
      </c>
      <c r="Y65" s="113">
        <v>0</v>
      </c>
      <c r="Z65" s="113">
        <v>0</v>
      </c>
      <c r="AA65" s="113">
        <v>0</v>
      </c>
      <c r="AB65" s="112">
        <v>1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</row>
    <row r="66" spans="1:53" ht="15" customHeight="1" outlineLevel="1" x14ac:dyDescent="0.25">
      <c r="A66" s="65"/>
      <c r="B66" s="39" t="s">
        <v>199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</row>
    <row r="67" spans="1:53" ht="15" customHeight="1" outlineLevel="1" x14ac:dyDescent="0.25">
      <c r="A67" s="65"/>
      <c r="B67" s="98" t="s">
        <v>204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3"/>
      <c r="V67" s="13"/>
      <c r="W67" s="13"/>
      <c r="X67" s="13"/>
      <c r="Y67" s="13"/>
      <c r="Z67" s="13"/>
      <c r="AA67" s="13"/>
      <c r="AB67" s="28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53" ht="15" customHeight="1" outlineLevel="1" x14ac:dyDescent="0.25">
      <c r="A68" s="65"/>
      <c r="B68" s="99" t="s">
        <v>224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3"/>
      <c r="V68" s="13"/>
      <c r="W68" s="13"/>
      <c r="X68" s="13"/>
      <c r="Y68" s="13"/>
      <c r="Z68" s="13"/>
      <c r="AA68" s="13"/>
      <c r="AB68" s="28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23.863</v>
      </c>
      <c r="AT68" s="13">
        <f t="shared" ref="AT68:AV70" si="17">AT153-AS153</f>
        <v>2801</v>
      </c>
      <c r="AU68" s="13">
        <f t="shared" si="17"/>
        <v>3673</v>
      </c>
      <c r="AV68" s="13">
        <f t="shared" si="17"/>
        <v>1444</v>
      </c>
      <c r="AW68" s="13">
        <v>107</v>
      </c>
      <c r="AX68" s="3">
        <f t="shared" ref="AX68:AZ69" si="18">AX153-AW153</f>
        <v>1399</v>
      </c>
      <c r="AY68" s="3">
        <f t="shared" si="18"/>
        <v>2432</v>
      </c>
      <c r="AZ68" s="3">
        <f t="shared" si="18"/>
        <v>475</v>
      </c>
      <c r="BA68" s="62">
        <v>80</v>
      </c>
    </row>
    <row r="69" spans="1:53" ht="15" customHeight="1" outlineLevel="1" x14ac:dyDescent="0.25">
      <c r="A69" s="65"/>
      <c r="B69" s="99" t="s">
        <v>180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3"/>
      <c r="V69" s="13"/>
      <c r="W69" s="13"/>
      <c r="X69" s="13"/>
      <c r="Y69" s="13"/>
      <c r="Z69" s="13"/>
      <c r="AA69" s="13"/>
      <c r="AB69" s="28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39.170999999999999</v>
      </c>
      <c r="AT69" s="13">
        <f t="shared" si="17"/>
        <v>1004</v>
      </c>
      <c r="AU69" s="13">
        <f t="shared" si="17"/>
        <v>930</v>
      </c>
      <c r="AV69" s="13">
        <f t="shared" si="17"/>
        <v>816</v>
      </c>
      <c r="AW69" s="13">
        <v>401</v>
      </c>
      <c r="AX69" s="3">
        <f t="shared" si="18"/>
        <v>591</v>
      </c>
      <c r="AY69" s="3">
        <f t="shared" si="18"/>
        <v>1375</v>
      </c>
      <c r="AZ69" s="3">
        <f t="shared" si="18"/>
        <v>1420</v>
      </c>
      <c r="BA69" s="62">
        <v>124</v>
      </c>
    </row>
    <row r="70" spans="1:53" ht="15" customHeight="1" outlineLevel="1" x14ac:dyDescent="0.25">
      <c r="A70" s="65"/>
      <c r="B70" s="99" t="s">
        <v>206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3"/>
      <c r="V70" s="13"/>
      <c r="W70" s="13"/>
      <c r="X70" s="13"/>
      <c r="Y70" s="13"/>
      <c r="Z70" s="13"/>
      <c r="AA70" s="13"/>
      <c r="AB70" s="28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39.170999999999999</v>
      </c>
      <c r="AT70" s="13">
        <f t="shared" si="17"/>
        <v>8.8290000000000006</v>
      </c>
      <c r="AU70" s="13">
        <f t="shared" si="17"/>
        <v>0</v>
      </c>
      <c r="AV70" s="13">
        <f t="shared" si="17"/>
        <v>55</v>
      </c>
      <c r="AW70" s="3">
        <v>48.18</v>
      </c>
      <c r="AX70" s="3">
        <f t="shared" ref="AX70:AZ70" si="19">AX155-AW155</f>
        <v>3.8200000000000003</v>
      </c>
      <c r="AY70" s="3">
        <f t="shared" si="19"/>
        <v>0</v>
      </c>
      <c r="AZ70" s="3">
        <f t="shared" si="19"/>
        <v>66</v>
      </c>
      <c r="BA70" s="3">
        <v>34</v>
      </c>
    </row>
    <row r="71" spans="1:53" ht="15" customHeight="1" outlineLevel="1" x14ac:dyDescent="0.25">
      <c r="A71" s="65"/>
      <c r="B71" s="102" t="s">
        <v>205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1"/>
      <c r="V71" s="11"/>
      <c r="W71" s="11"/>
      <c r="X71" s="11"/>
      <c r="Y71" s="11"/>
      <c r="Z71" s="11"/>
      <c r="AA71" s="11"/>
      <c r="AB71" s="4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  <c r="AZ71" s="11"/>
      <c r="BA71" s="11"/>
    </row>
    <row r="72" spans="1:53" ht="15" customHeight="1" outlineLevel="1" x14ac:dyDescent="0.25">
      <c r="A72" s="65"/>
      <c r="B72" s="105" t="s">
        <v>207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0"/>
      <c r="V72" s="20"/>
      <c r="W72" s="20"/>
      <c r="X72" s="20"/>
      <c r="Y72" s="20"/>
      <c r="Z72" s="20"/>
      <c r="AA72" s="20"/>
      <c r="AB72" s="3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9"/>
      <c r="AX72" s="20"/>
      <c r="AY72" s="20"/>
      <c r="AZ72" s="20"/>
      <c r="BA72" s="20"/>
    </row>
    <row r="73" spans="1:53" ht="15" customHeight="1" outlineLevel="1" x14ac:dyDescent="0.25">
      <c r="A73" s="65"/>
      <c r="B73" s="100" t="s">
        <v>208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3"/>
      <c r="V73" s="13"/>
      <c r="W73" s="13"/>
      <c r="X73" s="13"/>
      <c r="Y73" s="13"/>
      <c r="Z73" s="13"/>
      <c r="AA73" s="13"/>
      <c r="AB73" s="28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>
        <f>AT158-AS158</f>
        <v>0</v>
      </c>
      <c r="AU73" s="13">
        <f t="shared" ref="AU73:AV73" si="20">AU158-AT158</f>
        <v>0</v>
      </c>
      <c r="AV73" s="13">
        <f t="shared" si="20"/>
        <v>16</v>
      </c>
      <c r="AW73" s="3">
        <v>4255.1000000000004</v>
      </c>
      <c r="AX73" s="13">
        <f>AX158-AW158</f>
        <v>1520.8999999999996</v>
      </c>
      <c r="AY73" s="13">
        <f t="shared" ref="AY73:AZ73" si="21">AY158-AX158</f>
        <v>121</v>
      </c>
      <c r="AZ73" s="13">
        <f t="shared" si="21"/>
        <v>138</v>
      </c>
      <c r="BA73" s="3">
        <v>1181.04</v>
      </c>
    </row>
    <row r="74" spans="1:53" ht="15" customHeight="1" outlineLevel="1" x14ac:dyDescent="0.25">
      <c r="A74" s="65"/>
      <c r="B74" s="100" t="s">
        <v>209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3"/>
      <c r="V74" s="13"/>
      <c r="W74" s="13"/>
      <c r="X74" s="13"/>
      <c r="Y74" s="13"/>
      <c r="Z74" s="13"/>
      <c r="AA74" s="13"/>
      <c r="AB74" s="28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790.55</v>
      </c>
      <c r="AT74" s="13">
        <f t="shared" ref="AT74:AV74" si="22">AT159-AS159</f>
        <v>2491.4499999999998</v>
      </c>
      <c r="AU74" s="13">
        <f t="shared" si="22"/>
        <v>0</v>
      </c>
      <c r="AV74" s="13">
        <f t="shared" si="22"/>
        <v>290</v>
      </c>
      <c r="AW74" s="3">
        <v>331.6</v>
      </c>
      <c r="AX74" s="13">
        <f t="shared" ref="AX74:AZ74" si="23">AX159-AW159</f>
        <v>2126.4</v>
      </c>
      <c r="AY74" s="13">
        <f t="shared" si="23"/>
        <v>0</v>
      </c>
      <c r="AZ74" s="13">
        <f t="shared" si="23"/>
        <v>0</v>
      </c>
      <c r="BA74" s="3">
        <v>5.5</v>
      </c>
    </row>
    <row r="75" spans="1:53" ht="15" customHeight="1" outlineLevel="1" x14ac:dyDescent="0.25">
      <c r="A75" s="65"/>
      <c r="B75" s="100" t="s">
        <v>210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3"/>
      <c r="V75" s="13"/>
      <c r="W75" s="13"/>
      <c r="X75" s="13"/>
      <c r="Y75" s="13"/>
      <c r="Z75" s="13"/>
      <c r="AA75" s="13"/>
      <c r="AB75" s="28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50.649000000000001</v>
      </c>
      <c r="AT75" s="13">
        <f t="shared" ref="AT75:AV75" si="24">AT160-AS160</f>
        <v>29.350999999999999</v>
      </c>
      <c r="AU75" s="13">
        <f t="shared" si="24"/>
        <v>5</v>
      </c>
      <c r="AV75" s="13">
        <f t="shared" si="24"/>
        <v>5</v>
      </c>
      <c r="AW75" s="3">
        <v>42.08</v>
      </c>
      <c r="AX75" s="13">
        <f t="shared" ref="AX75:AZ75" si="25">AX160-AW160</f>
        <v>35.92</v>
      </c>
      <c r="AY75" s="13">
        <f t="shared" si="25"/>
        <v>6</v>
      </c>
      <c r="AZ75" s="13">
        <f t="shared" si="25"/>
        <v>16</v>
      </c>
      <c r="BA75" s="3">
        <v>36.491999999999997</v>
      </c>
    </row>
    <row r="76" spans="1:53" ht="15" customHeight="1" outlineLevel="1" x14ac:dyDescent="0.25">
      <c r="B76" s="100" t="s">
        <v>217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3"/>
      <c r="V76" s="13"/>
      <c r="W76" s="13"/>
      <c r="X76" s="13"/>
      <c r="Y76" s="13"/>
      <c r="Z76" s="13"/>
      <c r="AA76" s="13"/>
      <c r="AB76" s="28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>
        <v>10.7</v>
      </c>
      <c r="AT76" s="13">
        <f t="shared" ref="AT76:AV76" si="26">AT161-AS161</f>
        <v>84.3</v>
      </c>
      <c r="AU76" s="13">
        <f t="shared" si="26"/>
        <v>87</v>
      </c>
      <c r="AV76" s="13">
        <f t="shared" si="26"/>
        <v>213</v>
      </c>
      <c r="AW76" s="3">
        <v>13.506</v>
      </c>
      <c r="AX76" s="13">
        <f t="shared" ref="AX76:AZ76" si="27">AX161-AW161</f>
        <v>60.494</v>
      </c>
      <c r="AY76" s="13">
        <f t="shared" si="27"/>
        <v>22</v>
      </c>
      <c r="AZ76" s="13">
        <f t="shared" si="27"/>
        <v>8</v>
      </c>
      <c r="BA76" s="3">
        <v>3.85</v>
      </c>
    </row>
    <row r="77" spans="1:53" ht="15" customHeight="1" outlineLevel="1" x14ac:dyDescent="0.25">
      <c r="A77" s="65"/>
      <c r="B77" s="100" t="s">
        <v>211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3"/>
      <c r="V77" s="13"/>
      <c r="W77" s="13"/>
      <c r="X77" s="13"/>
      <c r="Y77" s="13"/>
      <c r="Z77" s="13"/>
      <c r="AA77" s="13"/>
      <c r="AB77" s="28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>
        <f t="shared" ref="AT77:AV77" si="28">AT162-AS162</f>
        <v>0</v>
      </c>
      <c r="AU77" s="13">
        <f t="shared" si="28"/>
        <v>0</v>
      </c>
      <c r="AV77" s="13">
        <f t="shared" si="28"/>
        <v>5</v>
      </c>
      <c r="AW77" s="3">
        <v>85.751000000000005</v>
      </c>
      <c r="AX77" s="13">
        <f t="shared" ref="AX77:AZ77" si="29">AX162-AW162</f>
        <v>0</v>
      </c>
      <c r="AY77" s="13">
        <f t="shared" si="29"/>
        <v>0</v>
      </c>
      <c r="AZ77" s="13">
        <f t="shared" si="29"/>
        <v>20.248999999999995</v>
      </c>
      <c r="BA77" s="3">
        <v>91.341999999999999</v>
      </c>
    </row>
    <row r="78" spans="1:53" ht="15" customHeight="1" outlineLevel="1" x14ac:dyDescent="0.25">
      <c r="A78" s="66"/>
      <c r="B78" s="101" t="s">
        <v>212</v>
      </c>
      <c r="AT78" s="13">
        <f t="shared" ref="AT78:AV78" si="30">AT163-AS163</f>
        <v>0</v>
      </c>
      <c r="AU78" s="13">
        <f t="shared" si="30"/>
        <v>750</v>
      </c>
      <c r="AV78" s="13">
        <f t="shared" si="30"/>
        <v>18545</v>
      </c>
      <c r="AW78" s="3">
        <v>143.02000000000001</v>
      </c>
      <c r="AX78" s="13">
        <f t="shared" ref="AX78:AZ78" si="31">AX163-AW163</f>
        <v>1.9799999999999898</v>
      </c>
      <c r="AY78" s="13">
        <f t="shared" si="31"/>
        <v>1311</v>
      </c>
      <c r="AZ78" s="13">
        <f t="shared" si="31"/>
        <v>10333</v>
      </c>
      <c r="BA78" s="3">
        <v>144.80000000000001</v>
      </c>
    </row>
    <row r="79" spans="1:53" ht="15" customHeight="1" outlineLevel="1" x14ac:dyDescent="0.25">
      <c r="A79" s="66"/>
      <c r="B79" s="101" t="s">
        <v>238</v>
      </c>
      <c r="AT79" s="13">
        <f t="shared" ref="AT79:AV79" si="32">AT164-AS164</f>
        <v>0</v>
      </c>
      <c r="AU79" s="13">
        <f t="shared" si="32"/>
        <v>0</v>
      </c>
      <c r="AV79" s="13">
        <f t="shared" si="32"/>
        <v>0</v>
      </c>
      <c r="AW79" s="3">
        <v>0</v>
      </c>
      <c r="AX79" s="13">
        <f t="shared" ref="AX79:AZ79" si="33">AX164-AW164</f>
        <v>0</v>
      </c>
      <c r="AY79" s="13">
        <f t="shared" si="33"/>
        <v>0</v>
      </c>
      <c r="AZ79" s="13">
        <f t="shared" si="33"/>
        <v>9990</v>
      </c>
      <c r="BA79" s="3">
        <v>334.06</v>
      </c>
    </row>
    <row r="80" spans="1:53" ht="15" customHeight="1" outlineLevel="1" x14ac:dyDescent="0.25">
      <c r="A80" s="66"/>
      <c r="B80" s="101" t="s">
        <v>239</v>
      </c>
      <c r="AT80" s="13">
        <f t="shared" ref="AT80:AV80" si="34">AT165-AS165</f>
        <v>0</v>
      </c>
      <c r="AU80" s="13">
        <f t="shared" si="34"/>
        <v>0</v>
      </c>
      <c r="AV80" s="13">
        <f t="shared" si="34"/>
        <v>0</v>
      </c>
      <c r="AW80" s="3">
        <v>0</v>
      </c>
      <c r="AX80" s="13">
        <f t="shared" ref="AX80:AZ80" si="35">AX165-AW165</f>
        <v>0</v>
      </c>
      <c r="AY80" s="13">
        <f t="shared" si="35"/>
        <v>0</v>
      </c>
      <c r="AZ80" s="13">
        <f t="shared" si="35"/>
        <v>1871</v>
      </c>
      <c r="BA80" s="3">
        <v>0</v>
      </c>
    </row>
    <row r="81" spans="1:53" ht="15" customHeight="1" outlineLevel="1" x14ac:dyDescent="0.25">
      <c r="A81" s="66"/>
      <c r="B81" s="101" t="s">
        <v>223</v>
      </c>
      <c r="AT81" s="13">
        <f t="shared" ref="AT81:AV81" si="36">AT166-AS166</f>
        <v>0</v>
      </c>
      <c r="AU81" s="13">
        <f t="shared" si="36"/>
        <v>42</v>
      </c>
      <c r="AV81" s="13">
        <f t="shared" si="36"/>
        <v>0</v>
      </c>
      <c r="AW81" s="3"/>
      <c r="AX81" s="13">
        <f t="shared" ref="AX81:AZ81" si="37">AX166-AW166</f>
        <v>9</v>
      </c>
      <c r="AY81" s="13">
        <f t="shared" si="37"/>
        <v>0</v>
      </c>
      <c r="AZ81" s="13">
        <f t="shared" si="37"/>
        <v>0</v>
      </c>
      <c r="BA81" s="3">
        <v>19.619</v>
      </c>
    </row>
    <row r="82" spans="1:53" ht="15" customHeight="1" outlineLevel="1" x14ac:dyDescent="0.25">
      <c r="A82" s="66"/>
      <c r="B82" s="101" t="s">
        <v>222</v>
      </c>
      <c r="AT82" s="13">
        <f t="shared" ref="AT82:AV82" si="38">AT167-AS167</f>
        <v>1</v>
      </c>
      <c r="AU82" s="13">
        <f t="shared" si="38"/>
        <v>-1</v>
      </c>
      <c r="AV82" s="13">
        <f t="shared" si="38"/>
        <v>4</v>
      </c>
      <c r="AW82" s="3"/>
      <c r="AX82" s="13">
        <f t="shared" ref="AX82:AZ82" si="39">AX167-AW167</f>
        <v>0</v>
      </c>
      <c r="AY82" s="13">
        <f t="shared" si="39"/>
        <v>0</v>
      </c>
      <c r="AZ82" s="13">
        <f t="shared" si="39"/>
        <v>1</v>
      </c>
      <c r="BA82" s="3">
        <v>0</v>
      </c>
    </row>
    <row r="83" spans="1:53" ht="15" customHeight="1" outlineLevel="1" x14ac:dyDescent="0.25">
      <c r="A83" s="66"/>
      <c r="B83" s="105" t="s">
        <v>213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20"/>
      <c r="AU83" s="20"/>
      <c r="AV83" s="20"/>
      <c r="AW83" s="59"/>
      <c r="AX83" s="20"/>
      <c r="AY83" s="20"/>
      <c r="AZ83" s="20"/>
      <c r="BA83" s="20"/>
    </row>
    <row r="84" spans="1:53" ht="15" customHeight="1" outlineLevel="1" x14ac:dyDescent="0.25">
      <c r="A84" s="66"/>
      <c r="B84" s="101" t="s">
        <v>214</v>
      </c>
      <c r="AS84" s="3"/>
      <c r="AT84" s="13">
        <f t="shared" ref="AT84:AV84" si="40">AT169-AS169</f>
        <v>0</v>
      </c>
      <c r="AU84" s="13">
        <f t="shared" si="40"/>
        <v>0</v>
      </c>
      <c r="AV84" s="13">
        <f t="shared" si="40"/>
        <v>0</v>
      </c>
      <c r="AW84" s="3">
        <v>9</v>
      </c>
      <c r="AX84" s="13">
        <f t="shared" ref="AX84:AZ84" si="41">AX169-AW169</f>
        <v>0</v>
      </c>
      <c r="AY84" s="13">
        <f t="shared" si="41"/>
        <v>0</v>
      </c>
      <c r="AZ84" s="13">
        <f t="shared" si="41"/>
        <v>0</v>
      </c>
      <c r="BA84" s="62">
        <v>0</v>
      </c>
    </row>
    <row r="85" spans="1:53" ht="15" customHeight="1" outlineLevel="1" x14ac:dyDescent="0.25">
      <c r="A85" s="65" t="s">
        <v>165</v>
      </c>
      <c r="B85" s="101" t="s">
        <v>208</v>
      </c>
      <c r="AS85" s="3">
        <v>646.24</v>
      </c>
      <c r="AT85" s="13">
        <f t="shared" ref="AT85:AV85" si="42">AT170-AS170</f>
        <v>0</v>
      </c>
      <c r="AU85" s="13">
        <f t="shared" si="42"/>
        <v>0</v>
      </c>
      <c r="AV85" s="13">
        <f t="shared" si="42"/>
        <v>0</v>
      </c>
      <c r="AW85" s="3">
        <v>495.07</v>
      </c>
      <c r="AX85" s="13">
        <f t="shared" ref="AX85:AZ85" si="43">AX170-AW170</f>
        <v>0</v>
      </c>
      <c r="AY85" s="13">
        <f t="shared" si="43"/>
        <v>0</v>
      </c>
      <c r="AZ85" s="13">
        <f t="shared" si="43"/>
        <v>1760</v>
      </c>
      <c r="BA85" s="62">
        <v>0</v>
      </c>
    </row>
    <row r="86" spans="1:53" ht="15" customHeight="1" x14ac:dyDescent="0.25">
      <c r="A86" s="66"/>
    </row>
    <row r="87" spans="1:53" ht="14.1" customHeight="1" outlineLevel="1" x14ac:dyDescent="0.25">
      <c r="A87" s="66"/>
      <c r="B87" s="21" t="s">
        <v>0</v>
      </c>
      <c r="C87" s="32" t="s">
        <v>99</v>
      </c>
      <c r="D87" s="32">
        <v>2008</v>
      </c>
      <c r="E87" s="32" t="s">
        <v>100</v>
      </c>
      <c r="F87" s="32" t="s">
        <v>101</v>
      </c>
      <c r="G87" s="32" t="s">
        <v>102</v>
      </c>
      <c r="H87" s="32">
        <v>2009</v>
      </c>
      <c r="I87" s="32" t="s">
        <v>103</v>
      </c>
      <c r="J87" s="32" t="s">
        <v>104</v>
      </c>
      <c r="K87" s="32" t="s">
        <v>105</v>
      </c>
      <c r="L87" s="32">
        <v>2010</v>
      </c>
      <c r="M87" s="32" t="s">
        <v>106</v>
      </c>
      <c r="N87" s="32" t="s">
        <v>107</v>
      </c>
      <c r="O87" s="32" t="s">
        <v>108</v>
      </c>
      <c r="P87" s="21">
        <v>2011</v>
      </c>
      <c r="Q87" s="21" t="s">
        <v>96</v>
      </c>
      <c r="R87" s="21" t="s">
        <v>97</v>
      </c>
      <c r="S87" s="21" t="s">
        <v>98</v>
      </c>
      <c r="T87" s="21">
        <v>2012</v>
      </c>
      <c r="U87" s="21" t="s">
        <v>93</v>
      </c>
      <c r="V87" s="21" t="s">
        <v>94</v>
      </c>
      <c r="W87" s="21" t="s">
        <v>95</v>
      </c>
      <c r="X87" s="21">
        <v>2013</v>
      </c>
      <c r="Y87" s="21" t="s">
        <v>90</v>
      </c>
      <c r="Z87" s="21" t="s">
        <v>91</v>
      </c>
      <c r="AA87" s="21" t="s">
        <v>92</v>
      </c>
      <c r="AB87" s="21">
        <v>2014</v>
      </c>
      <c r="AC87" s="21" t="s">
        <v>87</v>
      </c>
      <c r="AD87" s="21" t="s">
        <v>88</v>
      </c>
      <c r="AE87" s="21" t="s">
        <v>89</v>
      </c>
      <c r="AF87" s="21">
        <v>2015</v>
      </c>
      <c r="AG87" s="21" t="s">
        <v>84</v>
      </c>
      <c r="AH87" s="21" t="s">
        <v>85</v>
      </c>
      <c r="AI87" s="21" t="s">
        <v>86</v>
      </c>
      <c r="AJ87" s="21">
        <v>2016</v>
      </c>
      <c r="AK87" s="21" t="s">
        <v>83</v>
      </c>
      <c r="AL87" s="21" t="s">
        <v>82</v>
      </c>
      <c r="AM87" s="21" t="s">
        <v>81</v>
      </c>
      <c r="AN87" s="21">
        <v>2017</v>
      </c>
      <c r="AO87" s="21" t="s">
        <v>172</v>
      </c>
      <c r="AP87" s="21" t="s">
        <v>175</v>
      </c>
      <c r="AQ87" s="21" t="s">
        <v>177</v>
      </c>
      <c r="AR87" s="21">
        <v>2018</v>
      </c>
      <c r="AS87" s="21" t="s">
        <v>188</v>
      </c>
      <c r="AT87" s="21" t="s">
        <v>190</v>
      </c>
      <c r="AU87" s="21" t="s">
        <v>193</v>
      </c>
      <c r="AV87" s="21">
        <v>2019</v>
      </c>
      <c r="AW87" s="21" t="s">
        <v>195</v>
      </c>
      <c r="AX87" s="21" t="s">
        <v>221</v>
      </c>
      <c r="AY87" s="21" t="s">
        <v>228</v>
      </c>
      <c r="AZ87" s="21">
        <v>2020</v>
      </c>
      <c r="BA87" s="21" t="s">
        <v>245</v>
      </c>
    </row>
    <row r="88" spans="1:53" ht="14.1" customHeight="1" outlineLevel="1" x14ac:dyDescent="0.25">
      <c r="A88" s="66"/>
      <c r="B88" s="22" t="s">
        <v>203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63"/>
      <c r="AP88" s="63"/>
      <c r="AQ88" s="63"/>
      <c r="AR88" s="22"/>
      <c r="AS88" s="22"/>
      <c r="AT88" s="22"/>
      <c r="AU88" s="22"/>
      <c r="AV88" s="5"/>
      <c r="AW88" s="5"/>
      <c r="AX88" s="5"/>
      <c r="AY88" s="5"/>
      <c r="AZ88" s="5"/>
      <c r="BA88" s="5"/>
    </row>
    <row r="89" spans="1:53" ht="14.1" customHeight="1" outlineLevel="1" x14ac:dyDescent="0.25">
      <c r="A89" s="66"/>
      <c r="B89" s="6" t="s">
        <v>42</v>
      </c>
      <c r="C89" s="7">
        <v>1377</v>
      </c>
      <c r="D89" s="7">
        <v>1333</v>
      </c>
      <c r="E89" s="7">
        <v>1132</v>
      </c>
      <c r="F89" s="7">
        <v>1421</v>
      </c>
      <c r="G89" s="7">
        <v>1366</v>
      </c>
      <c r="H89" s="7">
        <v>1259</v>
      </c>
      <c r="I89" s="7">
        <v>1297</v>
      </c>
      <c r="J89" s="7">
        <v>1519</v>
      </c>
      <c r="K89" s="7">
        <v>1412</v>
      </c>
      <c r="L89" s="7">
        <v>1830</v>
      </c>
      <c r="M89" s="7">
        <v>2034</v>
      </c>
      <c r="N89" s="7">
        <v>2066</v>
      </c>
      <c r="O89" s="7">
        <v>1810</v>
      </c>
      <c r="P89" s="7">
        <v>2005</v>
      </c>
      <c r="Q89" s="7">
        <v>1903</v>
      </c>
      <c r="R89" s="7">
        <v>2266</v>
      </c>
      <c r="S89" s="7">
        <v>2339</v>
      </c>
      <c r="T89" s="7">
        <v>2150</v>
      </c>
      <c r="U89" s="7">
        <v>2386</v>
      </c>
      <c r="V89" s="7">
        <v>2115</v>
      </c>
      <c r="W89" s="7">
        <v>1994</v>
      </c>
      <c r="X89" s="7">
        <v>2998</v>
      </c>
      <c r="Y89" s="7">
        <v>2635</v>
      </c>
      <c r="Z89" s="7">
        <v>2531</v>
      </c>
      <c r="AA89" s="7">
        <v>2209</v>
      </c>
      <c r="AB89" s="7">
        <v>2373</v>
      </c>
      <c r="AC89" s="7">
        <v>2200</v>
      </c>
      <c r="AD89" s="7">
        <v>2238</v>
      </c>
      <c r="AE89" s="7">
        <v>2004</v>
      </c>
      <c r="AF89" s="7">
        <v>1711</v>
      </c>
      <c r="AG89" s="7">
        <v>1906</v>
      </c>
      <c r="AH89" s="7">
        <v>1819</v>
      </c>
      <c r="AI89" s="8">
        <v>1653</v>
      </c>
      <c r="AJ89" s="7">
        <v>3670</v>
      </c>
      <c r="AK89" s="7">
        <v>3808</v>
      </c>
      <c r="AL89" s="7">
        <v>3603</v>
      </c>
      <c r="AM89" s="7">
        <v>3570</v>
      </c>
      <c r="AN89" s="7">
        <v>3419</v>
      </c>
      <c r="AO89" s="7">
        <v>3082</v>
      </c>
      <c r="AP89" s="7">
        <v>2606</v>
      </c>
      <c r="AQ89" s="7">
        <v>3041</v>
      </c>
      <c r="AR89" s="7">
        <v>2746.6204480000001</v>
      </c>
      <c r="AS89" s="7">
        <v>2260.72883</v>
      </c>
      <c r="AT89" s="7">
        <v>1846.0777943564945</v>
      </c>
      <c r="AU89" s="7">
        <v>1779.1694158556531</v>
      </c>
      <c r="AV89" s="7">
        <v>1715.0767694172578</v>
      </c>
      <c r="AW89" s="7">
        <v>1447.4346994359778</v>
      </c>
      <c r="AX89" s="7">
        <v>1490.8291633872475</v>
      </c>
      <c r="AY89" s="7">
        <v>1579.1346639999999</v>
      </c>
      <c r="AZ89" s="7">
        <v>1403.3501665471547</v>
      </c>
      <c r="BA89" s="7">
        <v>1635.2649989922677</v>
      </c>
    </row>
    <row r="90" spans="1:53" ht="15" customHeight="1" outlineLevel="1" x14ac:dyDescent="0.25">
      <c r="A90" s="66"/>
      <c r="B90" s="9" t="s">
        <v>3</v>
      </c>
      <c r="C90" s="40">
        <v>92</v>
      </c>
      <c r="D90" s="40">
        <v>75</v>
      </c>
      <c r="E90" s="40">
        <v>71</v>
      </c>
      <c r="F90" s="40">
        <v>60</v>
      </c>
      <c r="G90" s="40">
        <v>43</v>
      </c>
      <c r="H90" s="40">
        <v>34</v>
      </c>
      <c r="I90" s="40">
        <v>30</v>
      </c>
      <c r="J90" s="40">
        <v>41</v>
      </c>
      <c r="K90" s="40">
        <v>34</v>
      </c>
      <c r="L90" s="40">
        <v>36</v>
      </c>
      <c r="M90" s="40">
        <v>38</v>
      </c>
      <c r="N90" s="40">
        <v>78</v>
      </c>
      <c r="O90" s="40">
        <v>55</v>
      </c>
      <c r="P90" s="11">
        <v>555</v>
      </c>
      <c r="Q90" s="11">
        <v>516</v>
      </c>
      <c r="R90" s="11">
        <v>484</v>
      </c>
      <c r="S90" s="11">
        <v>563</v>
      </c>
      <c r="T90" s="11">
        <v>561</v>
      </c>
      <c r="U90" s="11">
        <v>500</v>
      </c>
      <c r="V90" s="11">
        <v>436</v>
      </c>
      <c r="W90" s="11">
        <v>514</v>
      </c>
      <c r="X90" s="11">
        <v>476</v>
      </c>
      <c r="Y90" s="11">
        <v>357</v>
      </c>
      <c r="Z90" s="11">
        <v>313</v>
      </c>
      <c r="AA90" s="11">
        <v>259</v>
      </c>
      <c r="AB90" s="11">
        <v>754</v>
      </c>
      <c r="AC90" s="11">
        <v>762</v>
      </c>
      <c r="AD90" s="11">
        <v>737</v>
      </c>
      <c r="AE90" s="11">
        <v>663</v>
      </c>
      <c r="AF90" s="11">
        <v>572</v>
      </c>
      <c r="AG90" s="11">
        <v>980</v>
      </c>
      <c r="AH90" s="11">
        <v>1066</v>
      </c>
      <c r="AI90" s="11">
        <v>961</v>
      </c>
      <c r="AJ90" s="11">
        <v>782</v>
      </c>
      <c r="AK90" s="11">
        <v>729</v>
      </c>
      <c r="AL90" s="11">
        <v>658</v>
      </c>
      <c r="AM90" s="11">
        <v>639</v>
      </c>
      <c r="AN90" s="11">
        <v>577.51884199999995</v>
      </c>
      <c r="AO90" s="13">
        <v>541.17988300000002</v>
      </c>
      <c r="AP90" s="13">
        <v>413.59980100000001</v>
      </c>
      <c r="AQ90" s="13">
        <v>310</v>
      </c>
      <c r="AR90" s="13">
        <v>266.14649500000002</v>
      </c>
      <c r="AS90" s="13">
        <v>237.652613</v>
      </c>
      <c r="AT90" s="13">
        <v>191.44550412683063</v>
      </c>
      <c r="AU90" s="13">
        <v>154.50081351376423</v>
      </c>
      <c r="AV90" s="3">
        <v>162.81944898104106</v>
      </c>
      <c r="AW90" s="3">
        <v>79.604203626667712</v>
      </c>
      <c r="AX90" s="3">
        <v>86.916245175134605</v>
      </c>
      <c r="AY90" s="3">
        <v>79.447783000000001</v>
      </c>
      <c r="AZ90" s="3">
        <v>51.980410562879364</v>
      </c>
      <c r="BA90" s="3">
        <v>44.913985196876823</v>
      </c>
    </row>
    <row r="91" spans="1:53" ht="15" customHeight="1" outlineLevel="1" x14ac:dyDescent="0.25">
      <c r="A91" s="66"/>
      <c r="B91" s="12" t="s">
        <v>4</v>
      </c>
      <c r="C91" s="13">
        <f t="shared" ref="C91" si="44">+C92+C93+C94+C95</f>
        <v>1285</v>
      </c>
      <c r="D91" s="13">
        <f t="shared" ref="D91" si="45">+D92+D93+D94+D95</f>
        <v>1258</v>
      </c>
      <c r="E91" s="13">
        <f t="shared" ref="E91" si="46">+E92+E93+E94+E95</f>
        <v>1061</v>
      </c>
      <c r="F91" s="13">
        <f t="shared" ref="F91" si="47">+F92+F93+F94+F95</f>
        <v>1361</v>
      </c>
      <c r="G91" s="13">
        <f t="shared" ref="G91" si="48">+G92+G93+G94+G95</f>
        <v>1323</v>
      </c>
      <c r="H91" s="13">
        <f t="shared" ref="H91" si="49">+H92+H93+H94+H95</f>
        <v>1225</v>
      </c>
      <c r="I91" s="13">
        <f>+I92+I93+I94+I95</f>
        <v>1266</v>
      </c>
      <c r="J91" s="13">
        <f t="shared" ref="J91" si="50">+J92+J93+J94+J95</f>
        <v>1478</v>
      </c>
      <c r="K91" s="13">
        <f t="shared" ref="K91" si="51">+K92+K93+K94+K95</f>
        <v>1377</v>
      </c>
      <c r="L91" s="13">
        <f t="shared" ref="L91" si="52">+L92+L93+L94+L95</f>
        <v>1792</v>
      </c>
      <c r="M91" s="13">
        <f t="shared" ref="M91" si="53">+M92+M93+M94+M95</f>
        <v>1996</v>
      </c>
      <c r="N91" s="13">
        <f t="shared" ref="N91" si="54">+N92+N93+N94+N95</f>
        <v>1988</v>
      </c>
      <c r="O91" s="13">
        <f t="shared" ref="O91" si="55">+O92+O93+O94+O95</f>
        <v>1755</v>
      </c>
      <c r="P91" s="13">
        <f t="shared" ref="P91" si="56">+P92+P93+P94+P95</f>
        <v>1450</v>
      </c>
      <c r="Q91" s="13">
        <f t="shared" ref="Q91" si="57">+Q92+Q93+Q94+Q95</f>
        <v>1387</v>
      </c>
      <c r="R91" s="13">
        <f t="shared" ref="R91" si="58">+R92+R93+R94+R95</f>
        <v>1782</v>
      </c>
      <c r="S91" s="13">
        <f t="shared" ref="S91" si="59">+S92+S93+S94+S95</f>
        <v>1776</v>
      </c>
      <c r="T91" s="13">
        <f t="shared" ref="T91" si="60">+T92+T93+T94+T95</f>
        <v>1590</v>
      </c>
      <c r="U91" s="13">
        <f t="shared" ref="U91" si="61">+U92+U93+U94+U95</f>
        <v>1886</v>
      </c>
      <c r="V91" s="13">
        <f t="shared" ref="V91" si="62">+V92+V93+V94+V95</f>
        <v>1679</v>
      </c>
      <c r="W91" s="13">
        <f t="shared" ref="W91" si="63">+W92+W93+W94+W95</f>
        <v>1481</v>
      </c>
      <c r="X91" s="13">
        <f t="shared" ref="X91" si="64">+X92+X93+X94+X95</f>
        <v>2524</v>
      </c>
      <c r="Y91" s="13">
        <f t="shared" ref="Y91" si="65">+Y92+Y93+Y94+Y95</f>
        <v>2279</v>
      </c>
      <c r="Z91" s="13">
        <f t="shared" ref="Z91" si="66">+Z92+Z93+Z94+Z95</f>
        <v>2219</v>
      </c>
      <c r="AA91" s="13">
        <f t="shared" ref="AA91" si="67">+AA92+AA93+AA94+AA95</f>
        <v>1950</v>
      </c>
      <c r="AB91" s="13">
        <f t="shared" ref="AB91" si="68">+AB92+AB93+AB94+AB95</f>
        <v>1619</v>
      </c>
      <c r="AC91" s="13">
        <f t="shared" ref="AC91" si="69">+AC92+AC93+AC94+AC95</f>
        <v>1439</v>
      </c>
      <c r="AD91" s="13">
        <f t="shared" ref="AD91" si="70">+AD92+AD93+AD94+AD95</f>
        <v>1502</v>
      </c>
      <c r="AE91" s="13">
        <f t="shared" ref="AE91" si="71">+AE92+AE93+AE94+AE95</f>
        <v>1341</v>
      </c>
      <c r="AF91" s="13">
        <f t="shared" ref="AF91" si="72">+AF92+AF93+AF94+AF95</f>
        <v>1139</v>
      </c>
      <c r="AG91" s="13">
        <f t="shared" ref="AG91" si="73">+AG92+AG93+AG94+AG95</f>
        <v>926</v>
      </c>
      <c r="AH91" s="13">
        <f t="shared" ref="AH91" si="74">+AH92+AH93+AH94+AH95</f>
        <v>753</v>
      </c>
      <c r="AI91" s="13">
        <f t="shared" ref="AI91" si="75">+AI92+AI93+AI94+AI95</f>
        <v>691</v>
      </c>
      <c r="AJ91" s="13">
        <f t="shared" ref="AJ91" si="76">+AJ92+AJ93+AJ94+AJ95</f>
        <v>2889</v>
      </c>
      <c r="AK91" s="13">
        <f t="shared" ref="AK91" si="77">+AK92+AK93+AK94+AK95</f>
        <v>3079</v>
      </c>
      <c r="AL91" s="13">
        <f t="shared" ref="AL91" si="78">+AL92+AL93+AL94+AL95</f>
        <v>2945</v>
      </c>
      <c r="AM91" s="13">
        <f t="shared" ref="AM91:BA91" si="79">+AM92+AM93+AM94+AM95</f>
        <v>2932</v>
      </c>
      <c r="AN91" s="13">
        <f t="shared" si="79"/>
        <v>2841.2429069999998</v>
      </c>
      <c r="AO91" s="13">
        <f t="shared" si="79"/>
        <v>2541</v>
      </c>
      <c r="AP91" s="13">
        <f t="shared" si="79"/>
        <v>2192</v>
      </c>
      <c r="AQ91" s="13">
        <f t="shared" si="79"/>
        <v>2731</v>
      </c>
      <c r="AR91" s="13">
        <f t="shared" si="79"/>
        <v>2480.4739533875495</v>
      </c>
      <c r="AS91" s="13">
        <f t="shared" si="79"/>
        <v>2023.076217</v>
      </c>
      <c r="AT91" s="13">
        <f t="shared" si="79"/>
        <v>1654.6322902296638</v>
      </c>
      <c r="AU91" s="13">
        <f t="shared" si="79"/>
        <v>1624.6686023418888</v>
      </c>
      <c r="AV91" s="3">
        <f t="shared" si="79"/>
        <v>1552.2573204362168</v>
      </c>
      <c r="AW91" s="3">
        <f t="shared" si="79"/>
        <v>1367.8304958093099</v>
      </c>
      <c r="AX91" s="3">
        <f t="shared" si="79"/>
        <v>1403.912916</v>
      </c>
      <c r="AY91" s="3">
        <f t="shared" si="79"/>
        <v>1499.6868806255643</v>
      </c>
      <c r="AZ91" s="3">
        <f t="shared" si="79"/>
        <v>1351.3697559842751</v>
      </c>
      <c r="BA91" s="3">
        <f t="shared" si="79"/>
        <v>1590.3510137953913</v>
      </c>
    </row>
    <row r="92" spans="1:53" ht="15" customHeight="1" outlineLevel="1" x14ac:dyDescent="0.25">
      <c r="A92" s="66"/>
      <c r="B92" s="14" t="s">
        <v>5</v>
      </c>
      <c r="C92" s="13">
        <v>824</v>
      </c>
      <c r="D92" s="13">
        <v>821</v>
      </c>
      <c r="E92" s="13">
        <v>697</v>
      </c>
      <c r="F92" s="13">
        <v>1007</v>
      </c>
      <c r="G92" s="13">
        <v>860</v>
      </c>
      <c r="H92" s="13">
        <v>823</v>
      </c>
      <c r="I92" s="13">
        <v>757</v>
      </c>
      <c r="J92" s="13">
        <v>723</v>
      </c>
      <c r="K92" s="13">
        <v>626</v>
      </c>
      <c r="L92" s="13">
        <v>520</v>
      </c>
      <c r="M92" s="28">
        <v>531</v>
      </c>
      <c r="N92" s="28">
        <v>581</v>
      </c>
      <c r="O92" s="28">
        <v>454</v>
      </c>
      <c r="P92" s="15">
        <v>349</v>
      </c>
      <c r="Q92" s="15">
        <v>402</v>
      </c>
      <c r="R92" s="15">
        <v>941</v>
      </c>
      <c r="S92" s="15">
        <v>1005</v>
      </c>
      <c r="T92" s="15">
        <v>913</v>
      </c>
      <c r="U92" s="15">
        <v>835</v>
      </c>
      <c r="V92" s="15">
        <v>775</v>
      </c>
      <c r="W92" s="15">
        <v>761</v>
      </c>
      <c r="X92" s="15">
        <v>693</v>
      </c>
      <c r="Y92" s="15">
        <v>592</v>
      </c>
      <c r="Z92" s="15">
        <v>517</v>
      </c>
      <c r="AA92" s="15">
        <v>468</v>
      </c>
      <c r="AB92" s="15">
        <v>359</v>
      </c>
      <c r="AC92" s="15">
        <v>303</v>
      </c>
      <c r="AD92" s="15">
        <v>552</v>
      </c>
      <c r="AE92" s="15">
        <v>516</v>
      </c>
      <c r="AF92" s="15">
        <v>426</v>
      </c>
      <c r="AG92" s="15">
        <v>352</v>
      </c>
      <c r="AH92" s="15">
        <v>307</v>
      </c>
      <c r="AI92" s="15">
        <v>266</v>
      </c>
      <c r="AJ92" s="15">
        <v>2603</v>
      </c>
      <c r="AK92" s="15">
        <v>2703</v>
      </c>
      <c r="AL92" s="15">
        <v>2632</v>
      </c>
      <c r="AM92" s="15">
        <v>2680</v>
      </c>
      <c r="AN92" s="15">
        <v>2369.071516</v>
      </c>
      <c r="AO92" s="15">
        <v>2078</v>
      </c>
      <c r="AP92" s="15">
        <v>1762</v>
      </c>
      <c r="AQ92" s="15">
        <v>2152</v>
      </c>
      <c r="AR92" s="15">
        <v>1896.2166327940297</v>
      </c>
      <c r="AS92" s="15">
        <v>1480.2832100000001</v>
      </c>
      <c r="AT92" s="15">
        <v>1168.4163918841014</v>
      </c>
      <c r="AU92" s="15">
        <v>997.14742192940105</v>
      </c>
      <c r="AV92" s="86">
        <v>746.16047521756582</v>
      </c>
      <c r="AW92" s="86">
        <v>683.77791440652356</v>
      </c>
      <c r="AX92" s="3">
        <v>647.44553099999996</v>
      </c>
      <c r="AY92" s="3">
        <v>816.96547962556417</v>
      </c>
      <c r="AZ92" s="3">
        <v>590.47057847175734</v>
      </c>
      <c r="BA92" s="3">
        <v>475.30613737465671</v>
      </c>
    </row>
    <row r="93" spans="1:53" ht="15" customHeight="1" outlineLevel="1" x14ac:dyDescent="0.25">
      <c r="A93" s="66"/>
      <c r="B93" s="14" t="s">
        <v>6</v>
      </c>
      <c r="C93" s="13">
        <v>111</v>
      </c>
      <c r="D93" s="13">
        <v>122</v>
      </c>
      <c r="E93" s="13">
        <v>84</v>
      </c>
      <c r="F93" s="13">
        <v>91</v>
      </c>
      <c r="G93" s="13">
        <v>227</v>
      </c>
      <c r="H93" s="13">
        <v>194</v>
      </c>
      <c r="I93" s="13">
        <v>328</v>
      </c>
      <c r="J93" s="13">
        <v>552</v>
      </c>
      <c r="K93" s="13">
        <v>517</v>
      </c>
      <c r="L93" s="13">
        <v>483</v>
      </c>
      <c r="M93" s="28">
        <v>722</v>
      </c>
      <c r="N93" s="28">
        <v>697</v>
      </c>
      <c r="O93" s="28">
        <v>627</v>
      </c>
      <c r="P93" s="13">
        <v>524</v>
      </c>
      <c r="Q93" s="13">
        <v>493</v>
      </c>
      <c r="R93" s="13">
        <v>366</v>
      </c>
      <c r="S93" s="13">
        <v>373</v>
      </c>
      <c r="T93" s="13">
        <v>324</v>
      </c>
      <c r="U93" s="13">
        <v>796</v>
      </c>
      <c r="V93" s="13">
        <v>715</v>
      </c>
      <c r="W93" s="13">
        <v>556</v>
      </c>
      <c r="X93" s="13">
        <v>1692</v>
      </c>
      <c r="Y93" s="13">
        <v>1546</v>
      </c>
      <c r="Z93" s="13">
        <v>1565</v>
      </c>
      <c r="AA93" s="15">
        <v>1350</v>
      </c>
      <c r="AB93" s="15">
        <v>1229</v>
      </c>
      <c r="AC93" s="15">
        <v>1112</v>
      </c>
      <c r="AD93" s="15">
        <v>947</v>
      </c>
      <c r="AE93" s="15">
        <v>823</v>
      </c>
      <c r="AF93" s="15">
        <v>711</v>
      </c>
      <c r="AG93" s="15">
        <v>573</v>
      </c>
      <c r="AH93" s="15">
        <v>446</v>
      </c>
      <c r="AI93" s="15">
        <v>425</v>
      </c>
      <c r="AJ93" s="15">
        <v>286</v>
      </c>
      <c r="AK93" s="15">
        <v>376</v>
      </c>
      <c r="AL93" s="15">
        <v>313</v>
      </c>
      <c r="AM93" s="15">
        <v>252</v>
      </c>
      <c r="AN93" s="15">
        <v>472.17139100000003</v>
      </c>
      <c r="AO93" s="15">
        <v>463</v>
      </c>
      <c r="AP93" s="15">
        <v>430</v>
      </c>
      <c r="AQ93" s="15">
        <v>579</v>
      </c>
      <c r="AR93" s="15">
        <v>584.25732059351992</v>
      </c>
      <c r="AS93" s="15">
        <v>542.79300699999999</v>
      </c>
      <c r="AT93" s="15">
        <v>486.21589834556244</v>
      </c>
      <c r="AU93" s="15">
        <v>627.52118041248775</v>
      </c>
      <c r="AV93" s="86">
        <v>806.09684521865097</v>
      </c>
      <c r="AW93" s="86">
        <v>684.05258140278647</v>
      </c>
      <c r="AX93" s="3">
        <v>756.46738500000004</v>
      </c>
      <c r="AY93" s="3">
        <v>682.72140100000001</v>
      </c>
      <c r="AZ93" s="3">
        <v>760.89917751251778</v>
      </c>
      <c r="BA93" s="3">
        <v>1115.0448764207345</v>
      </c>
    </row>
    <row r="94" spans="1:53" ht="15" customHeight="1" outlineLevel="1" x14ac:dyDescent="0.25">
      <c r="A94" s="66"/>
      <c r="B94" s="14" t="s">
        <v>63</v>
      </c>
      <c r="C94" s="13">
        <v>333</v>
      </c>
      <c r="D94" s="13">
        <v>299</v>
      </c>
      <c r="E94" s="13">
        <v>270</v>
      </c>
      <c r="F94" s="13">
        <v>251</v>
      </c>
      <c r="G94" s="13">
        <v>220</v>
      </c>
      <c r="H94" s="13">
        <v>194</v>
      </c>
      <c r="I94" s="13">
        <v>168</v>
      </c>
      <c r="J94" s="13">
        <v>193</v>
      </c>
      <c r="K94" s="13">
        <v>227</v>
      </c>
      <c r="L94" s="13">
        <v>789</v>
      </c>
      <c r="M94" s="28">
        <v>743</v>
      </c>
      <c r="N94" s="28">
        <v>710</v>
      </c>
      <c r="O94" s="28">
        <v>674</v>
      </c>
      <c r="P94" s="15">
        <v>577</v>
      </c>
      <c r="Q94" s="15">
        <v>492</v>
      </c>
      <c r="R94" s="15">
        <v>475</v>
      </c>
      <c r="S94" s="15">
        <v>398</v>
      </c>
      <c r="T94" s="15">
        <v>353</v>
      </c>
      <c r="U94" s="15">
        <v>255</v>
      </c>
      <c r="V94" s="15">
        <v>189</v>
      </c>
      <c r="W94" s="15">
        <v>164</v>
      </c>
      <c r="X94" s="15">
        <v>139</v>
      </c>
      <c r="Y94" s="15">
        <v>141</v>
      </c>
      <c r="Z94" s="15">
        <v>137</v>
      </c>
      <c r="AA94" s="15">
        <v>132</v>
      </c>
      <c r="AB94" s="15">
        <v>31</v>
      </c>
      <c r="AC94" s="15">
        <v>24</v>
      </c>
      <c r="AD94" s="15">
        <v>3</v>
      </c>
      <c r="AE94" s="15">
        <v>2</v>
      </c>
      <c r="AF94" s="15">
        <v>2</v>
      </c>
      <c r="AG94" s="15">
        <v>1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86">
        <v>0</v>
      </c>
      <c r="AW94" s="86">
        <v>0</v>
      </c>
      <c r="AX94" s="86">
        <v>0</v>
      </c>
      <c r="AY94" s="86">
        <v>0</v>
      </c>
      <c r="AZ94" s="86">
        <v>0</v>
      </c>
      <c r="BA94" s="86">
        <v>0</v>
      </c>
    </row>
    <row r="95" spans="1:53" ht="15" customHeight="1" outlineLevel="1" x14ac:dyDescent="0.25">
      <c r="A95" s="66"/>
      <c r="B95" s="16" t="s">
        <v>137</v>
      </c>
      <c r="C95" s="20">
        <v>17</v>
      </c>
      <c r="D95" s="20">
        <v>16</v>
      </c>
      <c r="E95" s="20">
        <v>10</v>
      </c>
      <c r="F95" s="20">
        <v>12</v>
      </c>
      <c r="G95" s="20">
        <v>16</v>
      </c>
      <c r="H95" s="20">
        <v>14</v>
      </c>
      <c r="I95" s="20">
        <v>13</v>
      </c>
      <c r="J95" s="20">
        <v>10</v>
      </c>
      <c r="K95" s="20">
        <v>7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7">
        <v>0</v>
      </c>
    </row>
    <row r="96" spans="1:53" ht="14.1" customHeight="1" outlineLevel="1" x14ac:dyDescent="0.25">
      <c r="A96" s="66"/>
      <c r="B96" s="18" t="s">
        <v>80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41"/>
    </row>
    <row r="97" spans="1:53" ht="14.1" customHeight="1" outlineLevel="1" x14ac:dyDescent="0.25">
      <c r="A97" s="66"/>
      <c r="B97" s="12" t="s">
        <v>43</v>
      </c>
      <c r="C97" s="28">
        <v>575</v>
      </c>
      <c r="D97" s="28">
        <v>597</v>
      </c>
      <c r="E97" s="28">
        <v>516</v>
      </c>
      <c r="F97" s="28">
        <v>466</v>
      </c>
      <c r="G97" s="28">
        <v>392</v>
      </c>
      <c r="H97" s="28">
        <v>396</v>
      </c>
      <c r="I97" s="28">
        <v>355</v>
      </c>
      <c r="J97" s="28">
        <v>315</v>
      </c>
      <c r="K97" s="28">
        <v>277</v>
      </c>
      <c r="L97" s="28">
        <v>208</v>
      </c>
      <c r="M97" s="13">
        <v>261</v>
      </c>
      <c r="N97" s="13">
        <v>362</v>
      </c>
      <c r="O97" s="13">
        <v>271</v>
      </c>
      <c r="P97" s="13">
        <v>182</v>
      </c>
      <c r="Q97" s="13">
        <v>161</v>
      </c>
      <c r="R97" s="13">
        <v>746</v>
      </c>
      <c r="S97" s="13">
        <v>712</v>
      </c>
      <c r="T97" s="13">
        <v>702</v>
      </c>
      <c r="U97" s="13">
        <v>683</v>
      </c>
      <c r="V97" s="13">
        <v>633</v>
      </c>
      <c r="W97" s="13">
        <v>600</v>
      </c>
      <c r="X97" s="13">
        <v>558</v>
      </c>
      <c r="Y97" s="13">
        <v>501</v>
      </c>
      <c r="Z97" s="13">
        <v>450</v>
      </c>
      <c r="AA97" s="13">
        <v>421</v>
      </c>
      <c r="AB97" s="13">
        <v>319</v>
      </c>
      <c r="AC97" s="13">
        <v>269</v>
      </c>
      <c r="AD97" s="13">
        <v>526</v>
      </c>
      <c r="AE97" s="13">
        <v>496</v>
      </c>
      <c r="AF97" s="13">
        <v>402</v>
      </c>
      <c r="AG97" s="13">
        <v>352</v>
      </c>
      <c r="AH97" s="13">
        <v>442</v>
      </c>
      <c r="AI97" s="13">
        <v>402</v>
      </c>
      <c r="AJ97" s="13">
        <v>2409</v>
      </c>
      <c r="AK97" s="13">
        <v>2287</v>
      </c>
      <c r="AL97" s="13">
        <v>2227</v>
      </c>
      <c r="AM97" s="13">
        <v>2279</v>
      </c>
      <c r="AN97" s="13">
        <v>1962.0526689999999</v>
      </c>
      <c r="AO97" s="13">
        <v>1678</v>
      </c>
      <c r="AP97" s="13">
        <v>1367</v>
      </c>
      <c r="AQ97" s="13">
        <v>1159</v>
      </c>
      <c r="AR97" s="13">
        <v>1035.9878732419199</v>
      </c>
      <c r="AS97" s="13">
        <v>680.24648500000001</v>
      </c>
      <c r="AT97" s="13">
        <v>448.86398846532006</v>
      </c>
      <c r="AU97" s="13">
        <v>348.08236748933939</v>
      </c>
      <c r="AV97" s="3">
        <v>172.97718506997003</v>
      </c>
      <c r="AW97" s="3">
        <v>204.0264221564191</v>
      </c>
      <c r="AX97" s="3">
        <v>229.93423899999999</v>
      </c>
      <c r="AY97" s="3">
        <v>423.37903162556421</v>
      </c>
      <c r="AZ97" s="3">
        <v>339.00492941977473</v>
      </c>
      <c r="BA97" s="3">
        <v>300.74278521485036</v>
      </c>
    </row>
    <row r="98" spans="1:53" ht="14.1" customHeight="1" outlineLevel="1" x14ac:dyDescent="0.25">
      <c r="A98" s="66"/>
      <c r="B98" s="12" t="s">
        <v>44</v>
      </c>
      <c r="C98" s="28">
        <v>288</v>
      </c>
      <c r="D98" s="28">
        <v>286</v>
      </c>
      <c r="E98" s="28">
        <v>256</v>
      </c>
      <c r="F98" s="28">
        <v>241</v>
      </c>
      <c r="G98" s="28">
        <v>213</v>
      </c>
      <c r="H98" s="28">
        <v>191</v>
      </c>
      <c r="I98" s="28">
        <v>175</v>
      </c>
      <c r="J98" s="28">
        <v>155</v>
      </c>
      <c r="K98" s="28">
        <v>174</v>
      </c>
      <c r="L98" s="28">
        <v>587</v>
      </c>
      <c r="M98" s="13">
        <v>544</v>
      </c>
      <c r="N98" s="13">
        <v>540</v>
      </c>
      <c r="O98" s="13">
        <v>525</v>
      </c>
      <c r="P98" s="13">
        <v>475</v>
      </c>
      <c r="Q98" s="13">
        <v>409</v>
      </c>
      <c r="R98" s="13">
        <v>420</v>
      </c>
      <c r="S98" s="13">
        <v>368</v>
      </c>
      <c r="T98" s="13">
        <v>320</v>
      </c>
      <c r="U98" s="13">
        <v>237</v>
      </c>
      <c r="V98" s="13">
        <v>198</v>
      </c>
      <c r="W98" s="13">
        <v>306</v>
      </c>
      <c r="X98" s="13">
        <v>276</v>
      </c>
      <c r="Y98" s="13">
        <v>275</v>
      </c>
      <c r="Z98" s="13">
        <v>261</v>
      </c>
      <c r="AA98" s="13">
        <v>246</v>
      </c>
      <c r="AB98" s="13">
        <v>699</v>
      </c>
      <c r="AC98" s="13">
        <v>691</v>
      </c>
      <c r="AD98" s="13">
        <v>677</v>
      </c>
      <c r="AE98" s="13">
        <v>610</v>
      </c>
      <c r="AF98" s="13">
        <v>564</v>
      </c>
      <c r="AG98" s="13">
        <v>520</v>
      </c>
      <c r="AH98" s="13">
        <v>913</v>
      </c>
      <c r="AI98" s="13">
        <v>814</v>
      </c>
      <c r="AJ98" s="13">
        <v>966</v>
      </c>
      <c r="AK98" s="13">
        <v>873</v>
      </c>
      <c r="AL98" s="13">
        <v>793</v>
      </c>
      <c r="AM98" s="13">
        <v>697</v>
      </c>
      <c r="AN98" s="13">
        <v>561.45122100000003</v>
      </c>
      <c r="AO98" s="13">
        <v>484</v>
      </c>
      <c r="AP98" s="13">
        <v>409</v>
      </c>
      <c r="AQ98" s="13">
        <v>947</v>
      </c>
      <c r="AR98" s="13">
        <v>847.50842496906262</v>
      </c>
      <c r="AS98" s="13">
        <v>778.15730499999995</v>
      </c>
      <c r="AT98" s="13">
        <v>675.6716231811979</v>
      </c>
      <c r="AU98" s="13">
        <v>622.19156282549704</v>
      </c>
      <c r="AV98" s="3">
        <v>820.47962764590841</v>
      </c>
      <c r="AW98" s="3">
        <v>639.40617834302043</v>
      </c>
      <c r="AX98" s="3">
        <v>597.51828999999998</v>
      </c>
      <c r="AY98" s="3">
        <v>561.27436</v>
      </c>
      <c r="AZ98" s="3">
        <v>371.04052614029644</v>
      </c>
      <c r="BA98" s="3">
        <v>296.04625726441668</v>
      </c>
    </row>
    <row r="99" spans="1:53" ht="14.1" customHeight="1" outlineLevel="1" x14ac:dyDescent="0.25">
      <c r="A99" s="66"/>
      <c r="B99" s="12" t="s">
        <v>45</v>
      </c>
      <c r="C99" s="28">
        <v>432</v>
      </c>
      <c r="D99" s="28">
        <v>379</v>
      </c>
      <c r="E99" s="28">
        <v>296</v>
      </c>
      <c r="F99" s="28">
        <v>655</v>
      </c>
      <c r="G99" s="28">
        <v>616</v>
      </c>
      <c r="H99" s="28">
        <v>551</v>
      </c>
      <c r="I99" s="28">
        <v>657</v>
      </c>
      <c r="J99" s="28">
        <v>699</v>
      </c>
      <c r="K99" s="28">
        <v>623</v>
      </c>
      <c r="L99" s="28">
        <v>722</v>
      </c>
      <c r="M99" s="13">
        <v>921</v>
      </c>
      <c r="N99" s="13">
        <v>857</v>
      </c>
      <c r="O99" s="13">
        <v>705</v>
      </c>
      <c r="P99" s="13">
        <v>1079</v>
      </c>
      <c r="Q99" s="13">
        <v>1072</v>
      </c>
      <c r="R99" s="13">
        <v>869</v>
      </c>
      <c r="S99" s="13">
        <v>1042</v>
      </c>
      <c r="T99" s="13">
        <v>933</v>
      </c>
      <c r="U99" s="13">
        <v>758</v>
      </c>
      <c r="V99" s="13">
        <v>642</v>
      </c>
      <c r="W99" s="13">
        <v>578</v>
      </c>
      <c r="X99" s="13">
        <v>1610</v>
      </c>
      <c r="Y99" s="13">
        <v>1415</v>
      </c>
      <c r="Z99" s="13">
        <v>1453</v>
      </c>
      <c r="AA99" s="13">
        <v>1264</v>
      </c>
      <c r="AB99" s="13">
        <v>1169</v>
      </c>
      <c r="AC99" s="13">
        <v>1107</v>
      </c>
      <c r="AD99" s="13">
        <v>966</v>
      </c>
      <c r="AE99" s="13">
        <v>841</v>
      </c>
      <c r="AF99" s="13">
        <v>693</v>
      </c>
      <c r="AG99" s="13">
        <v>989</v>
      </c>
      <c r="AH99" s="13">
        <v>418</v>
      </c>
      <c r="AI99" s="13">
        <v>292</v>
      </c>
      <c r="AJ99" s="13">
        <v>190</v>
      </c>
      <c r="AK99" s="13">
        <v>373</v>
      </c>
      <c r="AL99" s="13">
        <v>279</v>
      </c>
      <c r="AM99" s="13">
        <v>311</v>
      </c>
      <c r="AN99" s="13">
        <v>593.88672799999995</v>
      </c>
      <c r="AO99" s="13">
        <v>607</v>
      </c>
      <c r="AP99" s="13">
        <v>537</v>
      </c>
      <c r="AQ99" s="13">
        <v>666</v>
      </c>
      <c r="AR99" s="13">
        <v>572.55498347349237</v>
      </c>
      <c r="AS99" s="13">
        <v>542.490455</v>
      </c>
      <c r="AT99" s="13">
        <v>496.72291507126914</v>
      </c>
      <c r="AU99" s="13">
        <v>614.91473310345975</v>
      </c>
      <c r="AV99" s="3">
        <v>587.4519738773264</v>
      </c>
      <c r="AW99" s="3">
        <v>485.36957643639181</v>
      </c>
      <c r="AX99" s="3">
        <v>552.64260717513469</v>
      </c>
      <c r="AY99" s="3">
        <v>505.36905000000002</v>
      </c>
      <c r="AZ99" s="3">
        <v>651.70246856229028</v>
      </c>
      <c r="BA99" s="3">
        <v>750.18627897450574</v>
      </c>
    </row>
    <row r="100" spans="1:53" ht="14.1" customHeight="1" outlineLevel="1" x14ac:dyDescent="0.25">
      <c r="A100" s="66"/>
      <c r="B100" s="12" t="s">
        <v>46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28">
        <v>235</v>
      </c>
      <c r="K100" s="28">
        <v>235</v>
      </c>
      <c r="L100" s="28">
        <v>230</v>
      </c>
      <c r="M100" s="13">
        <v>229</v>
      </c>
      <c r="N100" s="13">
        <v>240</v>
      </c>
      <c r="O100" s="13">
        <v>237</v>
      </c>
      <c r="P100" s="13">
        <v>215</v>
      </c>
      <c r="Q100" s="13">
        <v>214</v>
      </c>
      <c r="R100" s="13">
        <v>192</v>
      </c>
      <c r="S100" s="13">
        <v>179</v>
      </c>
      <c r="T100" s="13">
        <v>168</v>
      </c>
      <c r="U100" s="13">
        <v>700</v>
      </c>
      <c r="V100" s="13">
        <v>641</v>
      </c>
      <c r="W100" s="13">
        <v>496</v>
      </c>
      <c r="X100" s="13">
        <v>514</v>
      </c>
      <c r="Y100" s="13">
        <v>405</v>
      </c>
      <c r="Z100" s="13">
        <v>338</v>
      </c>
      <c r="AA100" s="13">
        <v>237</v>
      </c>
      <c r="AB100" s="13">
        <v>161</v>
      </c>
      <c r="AC100" s="13">
        <v>106</v>
      </c>
      <c r="AD100" s="13">
        <v>49</v>
      </c>
      <c r="AE100" s="13">
        <v>43</v>
      </c>
      <c r="AF100" s="13">
        <v>43</v>
      </c>
      <c r="AG100" s="13">
        <v>44</v>
      </c>
      <c r="AH100" s="13">
        <v>45</v>
      </c>
      <c r="AI100" s="13">
        <v>145</v>
      </c>
      <c r="AJ100" s="13">
        <v>105</v>
      </c>
      <c r="AK100" s="13">
        <v>276</v>
      </c>
      <c r="AL100" s="13">
        <v>304</v>
      </c>
      <c r="AM100" s="13">
        <v>284</v>
      </c>
      <c r="AN100" s="13">
        <v>301.37113099999999</v>
      </c>
      <c r="AO100" s="13">
        <v>314</v>
      </c>
      <c r="AP100" s="13">
        <v>293</v>
      </c>
      <c r="AQ100" s="13">
        <v>269</v>
      </c>
      <c r="AR100" s="13">
        <v>290.56916673822218</v>
      </c>
      <c r="AS100" s="13">
        <v>259.834585</v>
      </c>
      <c r="AT100" s="13">
        <v>224.81926763870752</v>
      </c>
      <c r="AU100" s="13">
        <v>193.98075243735667</v>
      </c>
      <c r="AV100" s="3">
        <v>134.1679828240531</v>
      </c>
      <c r="AW100" s="3">
        <v>118.63252250014645</v>
      </c>
      <c r="AX100" s="3">
        <v>110.734025</v>
      </c>
      <c r="AY100" s="3">
        <v>89.112222000000003</v>
      </c>
      <c r="AZ100" s="3">
        <v>41.602242424793154</v>
      </c>
      <c r="BA100" s="3">
        <v>288.28967753849486</v>
      </c>
    </row>
    <row r="101" spans="1:53" ht="14.1" customHeight="1" outlineLevel="1" x14ac:dyDescent="0.25">
      <c r="A101" s="66"/>
      <c r="B101" s="12" t="s">
        <v>64</v>
      </c>
      <c r="C101" s="13">
        <v>0</v>
      </c>
      <c r="D101" s="13">
        <v>0</v>
      </c>
      <c r="E101" s="28">
        <v>7</v>
      </c>
      <c r="F101" s="28">
        <v>7</v>
      </c>
      <c r="G101" s="28">
        <v>6</v>
      </c>
      <c r="H101" s="28">
        <v>3</v>
      </c>
      <c r="I101" s="28">
        <v>4</v>
      </c>
      <c r="J101" s="28">
        <v>7</v>
      </c>
      <c r="K101" s="28">
        <v>7</v>
      </c>
      <c r="L101" s="28">
        <v>9</v>
      </c>
      <c r="M101" s="13">
        <v>17</v>
      </c>
      <c r="N101" s="13">
        <v>19</v>
      </c>
      <c r="O101" s="13">
        <v>29</v>
      </c>
      <c r="P101" s="13">
        <v>21</v>
      </c>
      <c r="Q101" s="13">
        <v>4</v>
      </c>
      <c r="R101" s="13">
        <v>2</v>
      </c>
      <c r="S101" s="13">
        <v>17</v>
      </c>
      <c r="T101" s="13">
        <v>12</v>
      </c>
      <c r="U101" s="13">
        <v>7</v>
      </c>
      <c r="V101" s="13">
        <v>0</v>
      </c>
      <c r="W101" s="13">
        <v>13</v>
      </c>
      <c r="X101" s="13">
        <v>40</v>
      </c>
      <c r="Y101" s="13">
        <v>40</v>
      </c>
      <c r="Z101" s="13">
        <v>29</v>
      </c>
      <c r="AA101" s="13">
        <v>41</v>
      </c>
      <c r="AB101" s="13">
        <v>25</v>
      </c>
      <c r="AC101" s="13">
        <v>26</v>
      </c>
      <c r="AD101" s="13">
        <v>21</v>
      </c>
      <c r="AE101" s="13">
        <v>14</v>
      </c>
      <c r="AF101" s="13">
        <v>8</v>
      </c>
      <c r="AG101" s="13">
        <v>1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</row>
    <row r="102" spans="1:53" ht="14.1" customHeight="1" outlineLevel="1" x14ac:dyDescent="0.25">
      <c r="A102" s="66"/>
      <c r="B102" s="12" t="s">
        <v>134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26</v>
      </c>
      <c r="R102" s="13">
        <v>24</v>
      </c>
      <c r="S102" s="13">
        <v>14</v>
      </c>
      <c r="T102" s="13">
        <v>11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</row>
    <row r="103" spans="1:53" ht="14.1" customHeight="1" outlineLevel="1" x14ac:dyDescent="0.25">
      <c r="A103" s="66"/>
      <c r="B103" s="12" t="s">
        <v>136</v>
      </c>
      <c r="C103" s="28">
        <v>66</v>
      </c>
      <c r="D103" s="28">
        <v>55</v>
      </c>
      <c r="E103" s="28">
        <v>48</v>
      </c>
      <c r="F103" s="28">
        <v>40</v>
      </c>
      <c r="G103" s="28">
        <v>38</v>
      </c>
      <c r="H103" s="28">
        <v>21</v>
      </c>
      <c r="I103" s="28">
        <v>17</v>
      </c>
      <c r="J103" s="28">
        <v>25</v>
      </c>
      <c r="K103" s="28">
        <v>21</v>
      </c>
      <c r="L103" s="28">
        <v>17</v>
      </c>
      <c r="M103" s="13">
        <v>14</v>
      </c>
      <c r="N103" s="13">
        <v>12</v>
      </c>
      <c r="O103" s="13">
        <v>7</v>
      </c>
      <c r="P103" s="13">
        <v>7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</row>
    <row r="104" spans="1:53" ht="14.1" customHeight="1" outlineLevel="1" x14ac:dyDescent="0.25">
      <c r="A104" s="66"/>
      <c r="B104" s="19" t="s">
        <v>135</v>
      </c>
      <c r="C104" s="30">
        <v>17</v>
      </c>
      <c r="D104" s="30">
        <v>16</v>
      </c>
      <c r="E104" s="30">
        <v>10</v>
      </c>
      <c r="F104" s="30">
        <v>12</v>
      </c>
      <c r="G104" s="30">
        <v>102</v>
      </c>
      <c r="H104" s="30">
        <v>97</v>
      </c>
      <c r="I104" s="30">
        <v>88</v>
      </c>
      <c r="J104" s="30">
        <v>84</v>
      </c>
      <c r="K104" s="30">
        <v>74</v>
      </c>
      <c r="L104" s="30">
        <v>56</v>
      </c>
      <c r="M104" s="20">
        <v>47</v>
      </c>
      <c r="N104" s="20">
        <v>37</v>
      </c>
      <c r="O104" s="20">
        <v>36</v>
      </c>
      <c r="P104" s="20">
        <v>26</v>
      </c>
      <c r="Q104" s="20">
        <v>18</v>
      </c>
      <c r="R104" s="20">
        <v>12</v>
      </c>
      <c r="S104" s="20">
        <v>7</v>
      </c>
      <c r="T104" s="20">
        <v>4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</row>
    <row r="105" spans="1:53" outlineLevel="1" x14ac:dyDescent="0.25">
      <c r="A105" s="66"/>
      <c r="B105" s="5" t="s">
        <v>198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</row>
    <row r="106" spans="1:53" ht="14.1" customHeight="1" outlineLevel="1" x14ac:dyDescent="0.25">
      <c r="A106" s="66"/>
      <c r="B106" s="23" t="s">
        <v>179</v>
      </c>
      <c r="C106" s="24">
        <f t="shared" ref="C106:AP106" si="80">+C108+C109+C111</f>
        <v>1110.3119999999999</v>
      </c>
      <c r="D106" s="24">
        <f t="shared" si="80"/>
        <v>1403.2529999999999</v>
      </c>
      <c r="E106" s="24">
        <f t="shared" si="80"/>
        <v>548.07899999999995</v>
      </c>
      <c r="F106" s="24">
        <f t="shared" si="80"/>
        <v>800.279</v>
      </c>
      <c r="G106" s="24">
        <f t="shared" si="80"/>
        <v>1205.654</v>
      </c>
      <c r="H106" s="24">
        <f t="shared" si="80"/>
        <v>1579.4090000000001</v>
      </c>
      <c r="I106" s="24">
        <f t="shared" si="80"/>
        <v>661.56600000000003</v>
      </c>
      <c r="J106" s="24">
        <f t="shared" si="80"/>
        <v>991.02599999999995</v>
      </c>
      <c r="K106" s="24">
        <f t="shared" si="80"/>
        <v>1344.3009999999999</v>
      </c>
      <c r="L106" s="24">
        <f t="shared" si="80"/>
        <v>1743.001</v>
      </c>
      <c r="M106" s="24">
        <f t="shared" si="80"/>
        <v>604.26</v>
      </c>
      <c r="N106" s="24">
        <f t="shared" si="80"/>
        <v>947.06</v>
      </c>
      <c r="O106" s="24">
        <f t="shared" si="80"/>
        <v>1231.4100000000001</v>
      </c>
      <c r="P106" s="24">
        <f t="shared" si="80"/>
        <v>1499.461</v>
      </c>
      <c r="Q106" s="24">
        <f t="shared" si="80"/>
        <v>592.15</v>
      </c>
      <c r="R106" s="24">
        <f t="shared" si="80"/>
        <v>975.02499999999998</v>
      </c>
      <c r="S106" s="24">
        <f t="shared" si="80"/>
        <v>1242.2750000000001</v>
      </c>
      <c r="T106" s="24">
        <f t="shared" si="80"/>
        <v>1628.2750000000001</v>
      </c>
      <c r="U106" s="24">
        <f t="shared" si="80"/>
        <v>582.25</v>
      </c>
      <c r="V106" s="24">
        <f t="shared" si="80"/>
        <v>907.02499999999998</v>
      </c>
      <c r="W106" s="24">
        <f t="shared" si="80"/>
        <v>1200.5999999999999</v>
      </c>
      <c r="X106" s="24">
        <f t="shared" si="80"/>
        <v>1634.75</v>
      </c>
      <c r="Y106" s="24">
        <f t="shared" si="80"/>
        <v>599.97199999999998</v>
      </c>
      <c r="Z106" s="24">
        <f t="shared" si="80"/>
        <v>950.24699999999996</v>
      </c>
      <c r="AA106" s="24">
        <f t="shared" si="80"/>
        <v>1252.1189999999999</v>
      </c>
      <c r="AB106" s="24">
        <f t="shared" si="80"/>
        <v>1707.614</v>
      </c>
      <c r="AC106" s="24">
        <f t="shared" si="80"/>
        <v>634.11500000000001</v>
      </c>
      <c r="AD106" s="24">
        <f t="shared" si="80"/>
        <v>1009.21</v>
      </c>
      <c r="AE106" s="24">
        <f t="shared" si="80"/>
        <v>1234.26</v>
      </c>
      <c r="AF106" s="24">
        <f t="shared" si="80"/>
        <v>1506.96</v>
      </c>
      <c r="AG106" s="24">
        <f t="shared" si="80"/>
        <v>757</v>
      </c>
      <c r="AH106" s="24">
        <f t="shared" si="80"/>
        <v>1104.08</v>
      </c>
      <c r="AI106" s="24">
        <f t="shared" si="80"/>
        <v>1347.08</v>
      </c>
      <c r="AJ106" s="24">
        <f t="shared" si="80"/>
        <v>1750.23</v>
      </c>
      <c r="AK106" s="24">
        <f t="shared" si="80"/>
        <v>615</v>
      </c>
      <c r="AL106" s="24">
        <f t="shared" si="80"/>
        <v>1079</v>
      </c>
      <c r="AM106" s="24">
        <f t="shared" si="80"/>
        <v>1497</v>
      </c>
      <c r="AN106" s="24">
        <f t="shared" si="80"/>
        <v>1946</v>
      </c>
      <c r="AO106" s="24">
        <f t="shared" si="80"/>
        <v>621</v>
      </c>
      <c r="AP106" s="24">
        <f t="shared" si="80"/>
        <v>1081</v>
      </c>
      <c r="AQ106" s="24">
        <f>+AQ108+AQ109+AQ111</f>
        <v>1431</v>
      </c>
      <c r="AR106" s="24">
        <f t="shared" ref="AR106:AX106" si="81">+AR108+AR109+AR111+AR110</f>
        <v>1835</v>
      </c>
      <c r="AS106" s="24">
        <f t="shared" si="81"/>
        <v>754</v>
      </c>
      <c r="AT106" s="24">
        <f t="shared" si="81"/>
        <v>1283</v>
      </c>
      <c r="AU106" s="24">
        <f t="shared" si="81"/>
        <v>1636</v>
      </c>
      <c r="AV106" s="24">
        <f t="shared" si="81"/>
        <v>2135</v>
      </c>
      <c r="AW106" s="24">
        <f t="shared" si="81"/>
        <v>706</v>
      </c>
      <c r="AX106" s="24">
        <f t="shared" si="81"/>
        <v>1087</v>
      </c>
      <c r="AY106" s="24">
        <f t="shared" ref="AY106:BA106" si="82">+AY108+AY109+AY111+AY110</f>
        <v>1640</v>
      </c>
      <c r="AZ106" s="24">
        <f t="shared" si="82"/>
        <v>2181</v>
      </c>
      <c r="BA106" s="24">
        <f t="shared" si="82"/>
        <v>618</v>
      </c>
    </row>
    <row r="107" spans="1:53" ht="14.1" customHeight="1" outlineLevel="1" x14ac:dyDescent="0.25">
      <c r="A107" s="66"/>
      <c r="B107" s="69" t="s">
        <v>180</v>
      </c>
      <c r="C107" s="87">
        <f t="shared" ref="C107:AY107" si="83">+C108+C109+C110</f>
        <v>1086</v>
      </c>
      <c r="D107" s="87">
        <f t="shared" si="83"/>
        <v>1377</v>
      </c>
      <c r="E107" s="87">
        <f t="shared" si="83"/>
        <v>545</v>
      </c>
      <c r="F107" s="87">
        <f t="shared" si="83"/>
        <v>797</v>
      </c>
      <c r="G107" s="87">
        <f t="shared" si="83"/>
        <v>1202</v>
      </c>
      <c r="H107" s="87">
        <f t="shared" si="83"/>
        <v>1573</v>
      </c>
      <c r="I107" s="87">
        <f t="shared" si="83"/>
        <v>646</v>
      </c>
      <c r="J107" s="87">
        <f t="shared" si="83"/>
        <v>967</v>
      </c>
      <c r="K107" s="87">
        <f t="shared" si="83"/>
        <v>1310</v>
      </c>
      <c r="L107" s="87">
        <f t="shared" si="83"/>
        <v>1707</v>
      </c>
      <c r="M107" s="87">
        <f t="shared" si="83"/>
        <v>589</v>
      </c>
      <c r="N107" s="87">
        <f t="shared" si="83"/>
        <v>921</v>
      </c>
      <c r="O107" s="87">
        <f t="shared" si="83"/>
        <v>1205</v>
      </c>
      <c r="P107" s="87">
        <f t="shared" si="83"/>
        <v>1472</v>
      </c>
      <c r="Q107" s="87">
        <f t="shared" si="83"/>
        <v>592</v>
      </c>
      <c r="R107" s="87">
        <f t="shared" si="83"/>
        <v>959</v>
      </c>
      <c r="S107" s="87">
        <f t="shared" si="83"/>
        <v>1226</v>
      </c>
      <c r="T107" s="87">
        <f t="shared" si="83"/>
        <v>1612</v>
      </c>
      <c r="U107" s="87">
        <f t="shared" si="83"/>
        <v>582</v>
      </c>
      <c r="V107" s="87">
        <f t="shared" si="83"/>
        <v>897</v>
      </c>
      <c r="W107" s="87">
        <f t="shared" si="83"/>
        <v>1182</v>
      </c>
      <c r="X107" s="87">
        <f t="shared" si="83"/>
        <v>1614</v>
      </c>
      <c r="Y107" s="87">
        <f t="shared" si="83"/>
        <v>588</v>
      </c>
      <c r="Z107" s="87">
        <f t="shared" si="83"/>
        <v>935</v>
      </c>
      <c r="AA107" s="87">
        <f t="shared" si="83"/>
        <v>1231</v>
      </c>
      <c r="AB107" s="87">
        <f t="shared" si="83"/>
        <v>1684</v>
      </c>
      <c r="AC107" s="87">
        <f t="shared" si="83"/>
        <v>634</v>
      </c>
      <c r="AD107" s="87">
        <f t="shared" si="83"/>
        <v>1009</v>
      </c>
      <c r="AE107" s="87">
        <f t="shared" si="83"/>
        <v>1229</v>
      </c>
      <c r="AF107" s="87">
        <f t="shared" si="83"/>
        <v>1499</v>
      </c>
      <c r="AG107" s="87">
        <f t="shared" si="83"/>
        <v>757</v>
      </c>
      <c r="AH107" s="87">
        <f t="shared" si="83"/>
        <v>1104</v>
      </c>
      <c r="AI107" s="87">
        <f t="shared" si="83"/>
        <v>1347</v>
      </c>
      <c r="AJ107" s="87">
        <f t="shared" si="83"/>
        <v>1749</v>
      </c>
      <c r="AK107" s="87">
        <f t="shared" si="83"/>
        <v>564</v>
      </c>
      <c r="AL107" s="87">
        <f t="shared" si="83"/>
        <v>949</v>
      </c>
      <c r="AM107" s="87">
        <f t="shared" si="83"/>
        <v>1268</v>
      </c>
      <c r="AN107" s="87">
        <f t="shared" si="83"/>
        <v>1673</v>
      </c>
      <c r="AO107" s="87">
        <f t="shared" si="83"/>
        <v>588</v>
      </c>
      <c r="AP107" s="87">
        <f t="shared" si="83"/>
        <v>978</v>
      </c>
      <c r="AQ107" s="87">
        <f t="shared" si="83"/>
        <v>1198</v>
      </c>
      <c r="AR107" s="87">
        <f t="shared" si="83"/>
        <v>1481</v>
      </c>
      <c r="AS107" s="87">
        <f t="shared" si="83"/>
        <v>660</v>
      </c>
      <c r="AT107" s="87">
        <f t="shared" si="83"/>
        <v>1120</v>
      </c>
      <c r="AU107" s="87">
        <f t="shared" si="83"/>
        <v>1362</v>
      </c>
      <c r="AV107" s="87">
        <f t="shared" si="83"/>
        <v>1792</v>
      </c>
      <c r="AW107" s="87">
        <f t="shared" si="83"/>
        <v>620</v>
      </c>
      <c r="AX107" s="87">
        <f t="shared" si="83"/>
        <v>941</v>
      </c>
      <c r="AY107" s="87">
        <f t="shared" si="83"/>
        <v>1307</v>
      </c>
      <c r="AZ107" s="87">
        <f>+AZ108+AZ109+AZ110</f>
        <v>1726</v>
      </c>
      <c r="BA107" s="87">
        <f t="shared" ref="BA107" si="84">+BA108+BA109</f>
        <v>533</v>
      </c>
    </row>
    <row r="108" spans="1:53" ht="14.1" customHeight="1" outlineLevel="1" x14ac:dyDescent="0.25">
      <c r="A108" s="66"/>
      <c r="B108" s="25" t="s">
        <v>47</v>
      </c>
      <c r="C108" s="13">
        <v>1008</v>
      </c>
      <c r="D108" s="13">
        <v>1289</v>
      </c>
      <c r="E108" s="13">
        <v>503</v>
      </c>
      <c r="F108" s="13">
        <v>738</v>
      </c>
      <c r="G108" s="13">
        <v>1126</v>
      </c>
      <c r="H108" s="13">
        <v>1493</v>
      </c>
      <c r="I108" s="13">
        <v>563</v>
      </c>
      <c r="J108" s="13">
        <v>868</v>
      </c>
      <c r="K108" s="13">
        <v>1193</v>
      </c>
      <c r="L108" s="13">
        <v>1571</v>
      </c>
      <c r="M108" s="13">
        <v>563</v>
      </c>
      <c r="N108" s="13">
        <v>888</v>
      </c>
      <c r="O108" s="13">
        <v>1150</v>
      </c>
      <c r="P108" s="13">
        <v>1408</v>
      </c>
      <c r="Q108" s="13">
        <v>571</v>
      </c>
      <c r="R108" s="13">
        <v>922</v>
      </c>
      <c r="S108" s="13">
        <v>1165</v>
      </c>
      <c r="T108" s="13">
        <v>1541</v>
      </c>
      <c r="U108" s="13">
        <v>550</v>
      </c>
      <c r="V108" s="13">
        <v>857</v>
      </c>
      <c r="W108" s="13">
        <v>1105</v>
      </c>
      <c r="X108" s="13">
        <v>1523</v>
      </c>
      <c r="Y108" s="13">
        <v>517</v>
      </c>
      <c r="Z108" s="13">
        <v>859</v>
      </c>
      <c r="AA108" s="13">
        <v>1111</v>
      </c>
      <c r="AB108" s="13">
        <v>1542</v>
      </c>
      <c r="AC108" s="13">
        <v>592</v>
      </c>
      <c r="AD108" s="13">
        <v>961</v>
      </c>
      <c r="AE108" s="13">
        <v>1175</v>
      </c>
      <c r="AF108" s="13">
        <v>1442</v>
      </c>
      <c r="AG108" s="13">
        <v>710</v>
      </c>
      <c r="AH108" s="13">
        <v>1044</v>
      </c>
      <c r="AI108" s="13">
        <v>1279</v>
      </c>
      <c r="AJ108" s="13">
        <v>1670</v>
      </c>
      <c r="AK108" s="13">
        <v>502</v>
      </c>
      <c r="AL108" s="13">
        <v>863</v>
      </c>
      <c r="AM108" s="13">
        <v>1136</v>
      </c>
      <c r="AN108" s="13">
        <v>1527</v>
      </c>
      <c r="AO108" s="13">
        <v>488</v>
      </c>
      <c r="AP108" s="13">
        <v>823</v>
      </c>
      <c r="AQ108" s="13">
        <v>1019</v>
      </c>
      <c r="AR108" s="13">
        <v>1273</v>
      </c>
      <c r="AS108" s="3">
        <v>527</v>
      </c>
      <c r="AT108" s="3">
        <v>916</v>
      </c>
      <c r="AU108" s="3">
        <v>1148</v>
      </c>
      <c r="AV108" s="3">
        <v>1523</v>
      </c>
      <c r="AW108" s="62">
        <v>537</v>
      </c>
      <c r="AX108" s="62">
        <v>840</v>
      </c>
      <c r="AY108" s="87">
        <v>1153</v>
      </c>
      <c r="AZ108" s="87">
        <v>1499</v>
      </c>
      <c r="BA108" s="62">
        <v>484</v>
      </c>
    </row>
    <row r="109" spans="1:53" ht="14.1" customHeight="1" outlineLevel="1" x14ac:dyDescent="0.25">
      <c r="A109" s="66"/>
      <c r="B109" s="25" t="s">
        <v>48</v>
      </c>
      <c r="C109" s="13">
        <v>78</v>
      </c>
      <c r="D109" s="13">
        <v>88</v>
      </c>
      <c r="E109" s="13">
        <v>42</v>
      </c>
      <c r="F109" s="13">
        <v>59</v>
      </c>
      <c r="G109" s="13">
        <v>76</v>
      </c>
      <c r="H109" s="13">
        <v>80</v>
      </c>
      <c r="I109" s="13">
        <v>83</v>
      </c>
      <c r="J109" s="13">
        <v>99</v>
      </c>
      <c r="K109" s="13">
        <v>117</v>
      </c>
      <c r="L109" s="13">
        <v>136</v>
      </c>
      <c r="M109" s="13">
        <v>26</v>
      </c>
      <c r="N109" s="13">
        <v>33</v>
      </c>
      <c r="O109" s="13">
        <v>55</v>
      </c>
      <c r="P109" s="13">
        <v>64</v>
      </c>
      <c r="Q109" s="13">
        <v>21</v>
      </c>
      <c r="R109" s="13">
        <v>37</v>
      </c>
      <c r="S109" s="13">
        <v>61</v>
      </c>
      <c r="T109" s="13">
        <v>71</v>
      </c>
      <c r="U109" s="13">
        <v>32</v>
      </c>
      <c r="V109" s="13">
        <v>40</v>
      </c>
      <c r="W109" s="13">
        <v>77</v>
      </c>
      <c r="X109" s="13">
        <v>91</v>
      </c>
      <c r="Y109" s="13">
        <v>71</v>
      </c>
      <c r="Z109" s="13">
        <v>76</v>
      </c>
      <c r="AA109" s="13">
        <v>120</v>
      </c>
      <c r="AB109" s="13">
        <v>142</v>
      </c>
      <c r="AC109" s="13">
        <v>42</v>
      </c>
      <c r="AD109" s="13">
        <v>48</v>
      </c>
      <c r="AE109" s="13">
        <v>54</v>
      </c>
      <c r="AF109" s="13">
        <v>57</v>
      </c>
      <c r="AG109" s="13">
        <v>47</v>
      </c>
      <c r="AH109" s="13">
        <v>60</v>
      </c>
      <c r="AI109" s="13">
        <v>68</v>
      </c>
      <c r="AJ109" s="13">
        <v>79</v>
      </c>
      <c r="AK109" s="13">
        <v>62</v>
      </c>
      <c r="AL109" s="13">
        <v>86</v>
      </c>
      <c r="AM109" s="13">
        <v>132</v>
      </c>
      <c r="AN109" s="13">
        <v>146</v>
      </c>
      <c r="AO109" s="13">
        <v>100</v>
      </c>
      <c r="AP109" s="13">
        <v>155</v>
      </c>
      <c r="AQ109" s="13">
        <v>179</v>
      </c>
      <c r="AR109" s="13">
        <v>208</v>
      </c>
      <c r="AS109" s="13">
        <v>125</v>
      </c>
      <c r="AT109" s="13">
        <v>185</v>
      </c>
      <c r="AU109" s="13">
        <v>188</v>
      </c>
      <c r="AV109" s="3">
        <v>228</v>
      </c>
      <c r="AW109" s="62">
        <v>65</v>
      </c>
      <c r="AX109" s="62">
        <v>72</v>
      </c>
      <c r="AY109" s="62">
        <v>111</v>
      </c>
      <c r="AZ109" s="62">
        <v>169</v>
      </c>
      <c r="BA109" s="62">
        <v>49</v>
      </c>
    </row>
    <row r="110" spans="1:53" ht="14.1" customHeight="1" outlineLevel="1" x14ac:dyDescent="0.25">
      <c r="A110" s="66"/>
      <c r="B110" s="25" t="s">
        <v>216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>
        <v>8</v>
      </c>
      <c r="AT110" s="13">
        <v>19</v>
      </c>
      <c r="AU110" s="13">
        <v>26</v>
      </c>
      <c r="AV110" s="62">
        <v>41</v>
      </c>
      <c r="AW110" s="62">
        <v>18</v>
      </c>
      <c r="AX110" s="62">
        <v>29</v>
      </c>
      <c r="AY110" s="62">
        <v>43</v>
      </c>
      <c r="AZ110" s="62">
        <v>58</v>
      </c>
      <c r="BA110" s="62">
        <v>30</v>
      </c>
    </row>
    <row r="111" spans="1:53" ht="14.1" customHeight="1" outlineLevel="1" x14ac:dyDescent="0.25">
      <c r="A111" s="66"/>
      <c r="B111" s="70" t="s">
        <v>178</v>
      </c>
      <c r="C111" s="20">
        <v>24.312000000000001</v>
      </c>
      <c r="D111" s="20">
        <v>26.253</v>
      </c>
      <c r="E111" s="20">
        <v>3.0790000000000002</v>
      </c>
      <c r="F111" s="20">
        <v>3.2790000000000004</v>
      </c>
      <c r="G111" s="20">
        <v>3.6540000000000004</v>
      </c>
      <c r="H111" s="20">
        <v>6.4090000000000007</v>
      </c>
      <c r="I111" s="20">
        <v>15.566000000000001</v>
      </c>
      <c r="J111" s="20">
        <v>24.026000000000003</v>
      </c>
      <c r="K111" s="20">
        <v>34.301000000000002</v>
      </c>
      <c r="L111" s="20">
        <v>36.001000000000005</v>
      </c>
      <c r="M111" s="20">
        <v>15.26</v>
      </c>
      <c r="N111" s="20">
        <v>26.060000000000002</v>
      </c>
      <c r="O111" s="20">
        <v>26.410000000000004</v>
      </c>
      <c r="P111" s="20">
        <v>27.461000000000002</v>
      </c>
      <c r="Q111" s="20">
        <v>0.15</v>
      </c>
      <c r="R111" s="20">
        <v>16.024999999999999</v>
      </c>
      <c r="S111" s="20">
        <v>16.274999999999999</v>
      </c>
      <c r="T111" s="20">
        <v>16.274999999999999</v>
      </c>
      <c r="U111" s="20">
        <v>0.25</v>
      </c>
      <c r="V111" s="20">
        <v>10.025</v>
      </c>
      <c r="W111" s="20">
        <v>18.600000000000001</v>
      </c>
      <c r="X111" s="20">
        <v>20.75</v>
      </c>
      <c r="Y111" s="20">
        <v>11.972</v>
      </c>
      <c r="Z111" s="20">
        <v>15.247</v>
      </c>
      <c r="AA111" s="20">
        <v>21.119</v>
      </c>
      <c r="AB111" s="20">
        <v>23.614000000000001</v>
      </c>
      <c r="AC111" s="20">
        <v>0.115</v>
      </c>
      <c r="AD111" s="20">
        <v>0.21000000000000002</v>
      </c>
      <c r="AE111" s="20">
        <v>5.26</v>
      </c>
      <c r="AF111" s="20">
        <v>7.96</v>
      </c>
      <c r="AG111" s="20">
        <v>0</v>
      </c>
      <c r="AH111" s="20">
        <v>0.08</v>
      </c>
      <c r="AI111" s="20">
        <v>0.08</v>
      </c>
      <c r="AJ111" s="20">
        <v>1.23</v>
      </c>
      <c r="AK111" s="20">
        <v>51</v>
      </c>
      <c r="AL111" s="20">
        <v>130</v>
      </c>
      <c r="AM111" s="20">
        <v>229</v>
      </c>
      <c r="AN111" s="20">
        <v>273</v>
      </c>
      <c r="AO111" s="20">
        <v>33</v>
      </c>
      <c r="AP111" s="20">
        <v>103</v>
      </c>
      <c r="AQ111" s="20">
        <v>233</v>
      </c>
      <c r="AR111" s="20">
        <v>354</v>
      </c>
      <c r="AS111" s="20">
        <v>94</v>
      </c>
      <c r="AT111" s="20">
        <v>163</v>
      </c>
      <c r="AU111" s="20">
        <v>274</v>
      </c>
      <c r="AV111" s="20">
        <v>343</v>
      </c>
      <c r="AW111" s="20">
        <v>86</v>
      </c>
      <c r="AX111" s="20">
        <v>146</v>
      </c>
      <c r="AY111" s="20">
        <v>333</v>
      </c>
      <c r="AZ111" s="20">
        <v>455</v>
      </c>
      <c r="BA111" s="20">
        <v>55</v>
      </c>
    </row>
    <row r="112" spans="1:53" ht="14.1" customHeight="1" outlineLevel="1" x14ac:dyDescent="0.25">
      <c r="A112" s="66"/>
      <c r="B112" s="42" t="s">
        <v>181</v>
      </c>
      <c r="C112" s="90">
        <f t="shared" ref="C112:AX112" si="85">C118+C121+C124</f>
        <v>1077</v>
      </c>
      <c r="D112" s="90">
        <f t="shared" si="85"/>
        <v>1366</v>
      </c>
      <c r="E112" s="90">
        <f t="shared" si="85"/>
        <v>543</v>
      </c>
      <c r="F112" s="90">
        <f t="shared" si="85"/>
        <v>794</v>
      </c>
      <c r="G112" s="90">
        <f t="shared" si="85"/>
        <v>1196</v>
      </c>
      <c r="H112" s="90">
        <f t="shared" si="85"/>
        <v>1563</v>
      </c>
      <c r="I112" s="90">
        <f t="shared" si="85"/>
        <v>643</v>
      </c>
      <c r="J112" s="90">
        <f t="shared" si="85"/>
        <v>964</v>
      </c>
      <c r="K112" s="90">
        <f t="shared" si="85"/>
        <v>1307</v>
      </c>
      <c r="L112" s="90">
        <f t="shared" si="85"/>
        <v>1703</v>
      </c>
      <c r="M112" s="90">
        <f t="shared" si="85"/>
        <v>587</v>
      </c>
      <c r="N112" s="90">
        <f t="shared" si="85"/>
        <v>919</v>
      </c>
      <c r="O112" s="90">
        <f t="shared" si="85"/>
        <v>1202</v>
      </c>
      <c r="P112" s="90">
        <f t="shared" si="85"/>
        <v>1468</v>
      </c>
      <c r="Q112" s="90">
        <f t="shared" si="85"/>
        <v>591</v>
      </c>
      <c r="R112" s="90">
        <f t="shared" si="85"/>
        <v>958</v>
      </c>
      <c r="S112" s="90">
        <f t="shared" si="85"/>
        <v>1224</v>
      </c>
      <c r="T112" s="90">
        <f t="shared" si="85"/>
        <v>1609</v>
      </c>
      <c r="U112" s="90">
        <f t="shared" si="85"/>
        <v>580</v>
      </c>
      <c r="V112" s="90">
        <f t="shared" si="85"/>
        <v>895</v>
      </c>
      <c r="W112" s="90">
        <f t="shared" si="85"/>
        <v>1178</v>
      </c>
      <c r="X112" s="90">
        <f t="shared" si="85"/>
        <v>1609</v>
      </c>
      <c r="Y112" s="90">
        <f t="shared" si="85"/>
        <v>588</v>
      </c>
      <c r="Z112" s="90">
        <f t="shared" si="85"/>
        <v>935</v>
      </c>
      <c r="AA112" s="90">
        <f t="shared" si="85"/>
        <v>1231</v>
      </c>
      <c r="AB112" s="90">
        <f t="shared" si="85"/>
        <v>1684</v>
      </c>
      <c r="AC112" s="90">
        <f t="shared" si="85"/>
        <v>634</v>
      </c>
      <c r="AD112" s="90">
        <f t="shared" si="85"/>
        <v>1009</v>
      </c>
      <c r="AE112" s="90">
        <f t="shared" si="85"/>
        <v>1229</v>
      </c>
      <c r="AF112" s="90">
        <f t="shared" si="85"/>
        <v>1499</v>
      </c>
      <c r="AG112" s="90">
        <f t="shared" si="85"/>
        <v>757</v>
      </c>
      <c r="AH112" s="90">
        <f t="shared" si="85"/>
        <v>1104</v>
      </c>
      <c r="AI112" s="90">
        <f t="shared" si="85"/>
        <v>1346</v>
      </c>
      <c r="AJ112" s="90">
        <f t="shared" si="85"/>
        <v>1747</v>
      </c>
      <c r="AK112" s="90">
        <f t="shared" si="85"/>
        <v>563</v>
      </c>
      <c r="AL112" s="90">
        <f t="shared" si="85"/>
        <v>947</v>
      </c>
      <c r="AM112" s="90">
        <f t="shared" si="85"/>
        <v>1268</v>
      </c>
      <c r="AN112" s="90">
        <f t="shared" si="85"/>
        <v>1675</v>
      </c>
      <c r="AO112" s="90">
        <f t="shared" si="85"/>
        <v>587</v>
      </c>
      <c r="AP112" s="90">
        <f t="shared" si="85"/>
        <v>978</v>
      </c>
      <c r="AQ112" s="90">
        <f t="shared" si="85"/>
        <v>1198</v>
      </c>
      <c r="AR112" s="90">
        <f t="shared" si="85"/>
        <v>1480</v>
      </c>
      <c r="AS112" s="90">
        <f t="shared" si="85"/>
        <v>660</v>
      </c>
      <c r="AT112" s="90">
        <f t="shared" si="85"/>
        <v>1121</v>
      </c>
      <c r="AU112" s="90">
        <f t="shared" si="85"/>
        <v>1360</v>
      </c>
      <c r="AV112" s="90">
        <f t="shared" si="85"/>
        <v>1792</v>
      </c>
      <c r="AW112" s="90">
        <f t="shared" si="85"/>
        <v>619</v>
      </c>
      <c r="AX112" s="90">
        <f t="shared" si="85"/>
        <v>940</v>
      </c>
      <c r="AY112" s="90">
        <f>AY118+AY121+AY124</f>
        <v>1307</v>
      </c>
      <c r="AZ112" s="90">
        <f>AZ118+AZ121+AZ124</f>
        <v>1726</v>
      </c>
      <c r="BA112" s="129">
        <f>BA118+BA121+BA124</f>
        <v>563</v>
      </c>
    </row>
    <row r="113" spans="1:56" ht="14.1" customHeight="1" outlineLevel="1" x14ac:dyDescent="0.25">
      <c r="A113" s="66"/>
      <c r="B113" s="60" t="s">
        <v>51</v>
      </c>
      <c r="C113" s="28">
        <v>305</v>
      </c>
      <c r="D113" s="28">
        <v>343</v>
      </c>
      <c r="E113" s="13">
        <v>210</v>
      </c>
      <c r="F113" s="13">
        <v>252</v>
      </c>
      <c r="G113" s="13">
        <v>265</v>
      </c>
      <c r="H113" s="13">
        <v>334</v>
      </c>
      <c r="I113" s="13">
        <v>191</v>
      </c>
      <c r="J113" s="13">
        <v>237</v>
      </c>
      <c r="K113" s="13">
        <v>253</v>
      </c>
      <c r="L113" s="13">
        <v>303</v>
      </c>
      <c r="M113" s="13">
        <v>210</v>
      </c>
      <c r="N113" s="13">
        <v>276</v>
      </c>
      <c r="O113" s="13">
        <v>293</v>
      </c>
      <c r="P113" s="13">
        <v>301</v>
      </c>
      <c r="Q113" s="13">
        <v>208</v>
      </c>
      <c r="R113" s="13">
        <v>281</v>
      </c>
      <c r="S113" s="13">
        <v>289</v>
      </c>
      <c r="T113" s="13">
        <v>337</v>
      </c>
      <c r="U113" s="13">
        <v>172</v>
      </c>
      <c r="V113" s="13">
        <v>224</v>
      </c>
      <c r="W113" s="13">
        <v>236</v>
      </c>
      <c r="X113" s="13">
        <v>287</v>
      </c>
      <c r="Y113" s="13">
        <v>166</v>
      </c>
      <c r="Z113" s="13">
        <v>199</v>
      </c>
      <c r="AA113" s="13">
        <v>216</v>
      </c>
      <c r="AB113" s="13">
        <v>253</v>
      </c>
      <c r="AC113" s="13">
        <v>159</v>
      </c>
      <c r="AD113" s="13">
        <v>202</v>
      </c>
      <c r="AE113" s="13">
        <v>215</v>
      </c>
      <c r="AF113" s="13">
        <v>217</v>
      </c>
      <c r="AG113" s="13">
        <v>182</v>
      </c>
      <c r="AH113" s="13">
        <v>212</v>
      </c>
      <c r="AI113" s="13">
        <v>212</v>
      </c>
      <c r="AJ113" s="13">
        <v>212</v>
      </c>
      <c r="AK113" s="13">
        <v>139</v>
      </c>
      <c r="AL113" s="13">
        <v>236</v>
      </c>
      <c r="AM113" s="13">
        <v>260</v>
      </c>
      <c r="AN113" s="13">
        <v>315</v>
      </c>
      <c r="AO113" s="13">
        <v>154</v>
      </c>
      <c r="AP113" s="13">
        <v>238</v>
      </c>
      <c r="AQ113" s="13">
        <v>261</v>
      </c>
      <c r="AR113" s="13">
        <v>288</v>
      </c>
      <c r="AS113" s="73">
        <v>206</v>
      </c>
      <c r="AT113" s="73">
        <v>311</v>
      </c>
      <c r="AU113" s="73">
        <v>327</v>
      </c>
      <c r="AV113" s="3">
        <v>362</v>
      </c>
      <c r="AW113" s="3">
        <v>155</v>
      </c>
      <c r="AX113" s="3">
        <v>212</v>
      </c>
      <c r="AY113" s="44"/>
      <c r="AZ113" s="44"/>
    </row>
    <row r="114" spans="1:56" ht="14.1" customHeight="1" outlineLevel="1" x14ac:dyDescent="0.25">
      <c r="A114" s="66"/>
      <c r="B114" s="60" t="s">
        <v>52</v>
      </c>
      <c r="C114" s="28">
        <v>217</v>
      </c>
      <c r="D114" s="28">
        <v>245</v>
      </c>
      <c r="E114" s="13">
        <v>150</v>
      </c>
      <c r="F114" s="13">
        <v>191</v>
      </c>
      <c r="G114" s="13">
        <v>233</v>
      </c>
      <c r="H114" s="13">
        <v>282</v>
      </c>
      <c r="I114" s="13">
        <v>129</v>
      </c>
      <c r="J114" s="13">
        <v>210</v>
      </c>
      <c r="K114" s="13">
        <v>232</v>
      </c>
      <c r="L114" s="13">
        <v>266</v>
      </c>
      <c r="M114" s="13">
        <v>135</v>
      </c>
      <c r="N114" s="13">
        <v>229</v>
      </c>
      <c r="O114" s="13">
        <v>255</v>
      </c>
      <c r="P114" s="13">
        <v>266</v>
      </c>
      <c r="Q114" s="13">
        <v>160</v>
      </c>
      <c r="R114" s="13">
        <v>277</v>
      </c>
      <c r="S114" s="13">
        <v>303</v>
      </c>
      <c r="T114" s="13">
        <v>346</v>
      </c>
      <c r="U114" s="13">
        <v>148</v>
      </c>
      <c r="V114" s="13">
        <v>246</v>
      </c>
      <c r="W114" s="13">
        <v>283</v>
      </c>
      <c r="X114" s="13">
        <v>337</v>
      </c>
      <c r="Y114" s="13">
        <v>146</v>
      </c>
      <c r="Z114" s="13">
        <v>256</v>
      </c>
      <c r="AA114" s="13">
        <v>300</v>
      </c>
      <c r="AB114" s="13">
        <v>339</v>
      </c>
      <c r="AC114" s="13">
        <v>185</v>
      </c>
      <c r="AD114" s="13">
        <v>282</v>
      </c>
      <c r="AE114" s="13">
        <v>316</v>
      </c>
      <c r="AF114" s="13">
        <v>321</v>
      </c>
      <c r="AG114" s="13">
        <v>210</v>
      </c>
      <c r="AH114" s="13">
        <v>298</v>
      </c>
      <c r="AI114" s="13">
        <v>298</v>
      </c>
      <c r="AJ114" s="13">
        <v>298</v>
      </c>
      <c r="AK114" s="13">
        <v>0</v>
      </c>
      <c r="AL114" s="13">
        <v>4</v>
      </c>
      <c r="AM114" s="13">
        <v>5</v>
      </c>
      <c r="AN114" s="13">
        <v>5</v>
      </c>
      <c r="AO114" s="13">
        <v>0</v>
      </c>
      <c r="AP114" s="13">
        <v>0</v>
      </c>
      <c r="AQ114" s="13">
        <v>0</v>
      </c>
      <c r="AR114" s="13">
        <v>0</v>
      </c>
      <c r="AS114" s="73">
        <v>0</v>
      </c>
      <c r="AT114" s="73">
        <v>0</v>
      </c>
      <c r="AU114" s="73">
        <v>0</v>
      </c>
      <c r="AV114" s="88">
        <v>0</v>
      </c>
      <c r="AW114" s="88">
        <v>0</v>
      </c>
      <c r="AX114" s="3">
        <v>0</v>
      </c>
      <c r="AY114" s="44"/>
      <c r="AZ114" s="44"/>
    </row>
    <row r="115" spans="1:56" ht="14.1" customHeight="1" outlineLevel="1" x14ac:dyDescent="0.25">
      <c r="A115" s="66"/>
      <c r="B115" s="60" t="s">
        <v>53</v>
      </c>
      <c r="C115" s="28">
        <v>51</v>
      </c>
      <c r="D115" s="28">
        <v>54</v>
      </c>
      <c r="E115" s="13">
        <v>27</v>
      </c>
      <c r="F115" s="13">
        <v>38</v>
      </c>
      <c r="G115" s="13">
        <v>50</v>
      </c>
      <c r="H115" s="13">
        <v>71</v>
      </c>
      <c r="I115" s="13">
        <v>31</v>
      </c>
      <c r="J115" s="13">
        <v>58</v>
      </c>
      <c r="K115" s="13">
        <v>69</v>
      </c>
      <c r="L115" s="13">
        <v>81</v>
      </c>
      <c r="M115" s="13">
        <v>24</v>
      </c>
      <c r="N115" s="13">
        <v>50</v>
      </c>
      <c r="O115" s="13">
        <v>57</v>
      </c>
      <c r="P115" s="13">
        <v>61</v>
      </c>
      <c r="Q115" s="13">
        <v>28</v>
      </c>
      <c r="R115" s="13">
        <v>44</v>
      </c>
      <c r="S115" s="13">
        <v>49</v>
      </c>
      <c r="T115" s="13">
        <v>54</v>
      </c>
      <c r="U115" s="13">
        <v>22</v>
      </c>
      <c r="V115" s="13">
        <v>39</v>
      </c>
      <c r="W115" s="13">
        <v>45</v>
      </c>
      <c r="X115" s="13">
        <v>53</v>
      </c>
      <c r="Y115" s="13">
        <v>26</v>
      </c>
      <c r="Z115" s="13">
        <v>51</v>
      </c>
      <c r="AA115" s="13">
        <v>62</v>
      </c>
      <c r="AB115" s="13">
        <v>67</v>
      </c>
      <c r="AC115" s="13">
        <v>24</v>
      </c>
      <c r="AD115" s="13">
        <v>50</v>
      </c>
      <c r="AE115" s="13">
        <v>50</v>
      </c>
      <c r="AF115" s="13">
        <v>53</v>
      </c>
      <c r="AG115" s="13">
        <v>20</v>
      </c>
      <c r="AH115" s="13">
        <v>44</v>
      </c>
      <c r="AI115" s="13">
        <v>49</v>
      </c>
      <c r="AJ115" s="13">
        <v>63</v>
      </c>
      <c r="AK115" s="13">
        <v>39</v>
      </c>
      <c r="AL115" s="13">
        <v>87</v>
      </c>
      <c r="AM115" s="13">
        <v>101</v>
      </c>
      <c r="AN115" s="13">
        <v>112</v>
      </c>
      <c r="AO115" s="13">
        <v>34</v>
      </c>
      <c r="AP115" s="13">
        <v>73</v>
      </c>
      <c r="AQ115" s="13">
        <v>89</v>
      </c>
      <c r="AR115" s="13">
        <v>94</v>
      </c>
      <c r="AS115" s="73">
        <v>40</v>
      </c>
      <c r="AT115" s="73">
        <v>92</v>
      </c>
      <c r="AU115" s="73">
        <v>103</v>
      </c>
      <c r="AV115" s="3">
        <v>109</v>
      </c>
      <c r="AW115" s="3">
        <v>34</v>
      </c>
      <c r="AX115" s="3">
        <v>59</v>
      </c>
      <c r="AY115" s="44"/>
      <c r="AZ115" s="44"/>
    </row>
    <row r="116" spans="1:56" ht="14.1" customHeight="1" outlineLevel="1" x14ac:dyDescent="0.25">
      <c r="A116" s="66"/>
      <c r="B116" s="60" t="s">
        <v>54</v>
      </c>
      <c r="C116" s="28">
        <v>119</v>
      </c>
      <c r="D116" s="28">
        <v>147</v>
      </c>
      <c r="E116" s="13">
        <v>59</v>
      </c>
      <c r="F116" s="13">
        <v>95</v>
      </c>
      <c r="G116" s="13">
        <v>116</v>
      </c>
      <c r="H116" s="13">
        <v>150</v>
      </c>
      <c r="I116" s="13">
        <v>84</v>
      </c>
      <c r="J116" s="13">
        <v>127</v>
      </c>
      <c r="K116" s="13">
        <v>141</v>
      </c>
      <c r="L116" s="13">
        <v>158</v>
      </c>
      <c r="M116" s="13">
        <v>38</v>
      </c>
      <c r="N116" s="13">
        <v>74</v>
      </c>
      <c r="O116" s="13">
        <v>86</v>
      </c>
      <c r="P116" s="13">
        <v>91</v>
      </c>
      <c r="Q116" s="13">
        <v>33</v>
      </c>
      <c r="R116" s="13">
        <v>48</v>
      </c>
      <c r="S116" s="13">
        <v>52</v>
      </c>
      <c r="T116" s="13">
        <v>65</v>
      </c>
      <c r="U116" s="13">
        <v>27</v>
      </c>
      <c r="V116" s="13">
        <v>64</v>
      </c>
      <c r="W116" s="13">
        <v>83</v>
      </c>
      <c r="X116" s="13">
        <v>107</v>
      </c>
      <c r="Y116" s="13">
        <v>25</v>
      </c>
      <c r="Z116" s="13">
        <v>82</v>
      </c>
      <c r="AA116" s="13">
        <v>91</v>
      </c>
      <c r="AB116" s="13">
        <v>107</v>
      </c>
      <c r="AC116" s="13">
        <v>51</v>
      </c>
      <c r="AD116" s="13">
        <v>104</v>
      </c>
      <c r="AE116" s="13">
        <v>119</v>
      </c>
      <c r="AF116" s="13">
        <v>125</v>
      </c>
      <c r="AG116" s="13">
        <v>99</v>
      </c>
      <c r="AH116" s="13">
        <v>184</v>
      </c>
      <c r="AI116" s="13">
        <v>215</v>
      </c>
      <c r="AJ116" s="13">
        <v>285</v>
      </c>
      <c r="AK116" s="13">
        <v>83</v>
      </c>
      <c r="AL116" s="13">
        <v>191</v>
      </c>
      <c r="AM116" s="13">
        <v>217</v>
      </c>
      <c r="AN116" s="13">
        <v>256</v>
      </c>
      <c r="AO116" s="13">
        <v>69</v>
      </c>
      <c r="AP116" s="13">
        <v>172</v>
      </c>
      <c r="AQ116" s="13">
        <v>206</v>
      </c>
      <c r="AR116" s="13">
        <v>226</v>
      </c>
      <c r="AS116" s="73">
        <v>111</v>
      </c>
      <c r="AT116" s="73">
        <v>211</v>
      </c>
      <c r="AU116" s="73">
        <v>241</v>
      </c>
      <c r="AV116" s="3">
        <v>250</v>
      </c>
      <c r="AW116" s="3">
        <v>116</v>
      </c>
      <c r="AX116" s="3">
        <v>207</v>
      </c>
      <c r="AY116" s="44"/>
      <c r="AZ116" s="44"/>
    </row>
    <row r="117" spans="1:56" ht="14.1" customHeight="1" outlineLevel="1" x14ac:dyDescent="0.25">
      <c r="A117" s="66"/>
      <c r="B117" s="60" t="s">
        <v>62</v>
      </c>
      <c r="C117" s="28"/>
      <c r="D117" s="28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3">
        <v>20</v>
      </c>
      <c r="AQ117" s="3">
        <v>21</v>
      </c>
      <c r="AR117" s="3">
        <v>22</v>
      </c>
      <c r="AS117" s="88">
        <v>7</v>
      </c>
      <c r="AT117" s="88">
        <v>10</v>
      </c>
      <c r="AU117" s="88">
        <v>12</v>
      </c>
      <c r="AV117" s="3">
        <v>12</v>
      </c>
      <c r="AW117" s="3">
        <v>12</v>
      </c>
      <c r="AX117" s="3">
        <v>14</v>
      </c>
      <c r="AY117" s="44"/>
      <c r="AZ117" s="44"/>
    </row>
    <row r="118" spans="1:56" ht="14.1" customHeight="1" outlineLevel="1" x14ac:dyDescent="0.25">
      <c r="A118" s="66"/>
      <c r="B118" s="106" t="s">
        <v>230</v>
      </c>
      <c r="C118" s="109">
        <f t="shared" ref="C118:AQ118" si="86">SUM(C113:C117)</f>
        <v>692</v>
      </c>
      <c r="D118" s="109">
        <f t="shared" si="86"/>
        <v>789</v>
      </c>
      <c r="E118" s="109">
        <f t="shared" si="86"/>
        <v>446</v>
      </c>
      <c r="F118" s="109">
        <f t="shared" si="86"/>
        <v>576</v>
      </c>
      <c r="G118" s="109">
        <f t="shared" si="86"/>
        <v>664</v>
      </c>
      <c r="H118" s="109">
        <f t="shared" si="86"/>
        <v>837</v>
      </c>
      <c r="I118" s="109">
        <f t="shared" si="86"/>
        <v>435</v>
      </c>
      <c r="J118" s="109">
        <f t="shared" si="86"/>
        <v>632</v>
      </c>
      <c r="K118" s="109">
        <f t="shared" si="86"/>
        <v>695</v>
      </c>
      <c r="L118" s="109">
        <f t="shared" si="86"/>
        <v>808</v>
      </c>
      <c r="M118" s="109">
        <f t="shared" si="86"/>
        <v>407</v>
      </c>
      <c r="N118" s="109">
        <f t="shared" si="86"/>
        <v>629</v>
      </c>
      <c r="O118" s="109">
        <f t="shared" si="86"/>
        <v>691</v>
      </c>
      <c r="P118" s="109">
        <f t="shared" si="86"/>
        <v>719</v>
      </c>
      <c r="Q118" s="109">
        <f t="shared" si="86"/>
        <v>429</v>
      </c>
      <c r="R118" s="109">
        <f t="shared" si="86"/>
        <v>650</v>
      </c>
      <c r="S118" s="109">
        <f t="shared" si="86"/>
        <v>693</v>
      </c>
      <c r="T118" s="109">
        <f t="shared" si="86"/>
        <v>802</v>
      </c>
      <c r="U118" s="109">
        <f t="shared" si="86"/>
        <v>369</v>
      </c>
      <c r="V118" s="109">
        <f t="shared" si="86"/>
        <v>573</v>
      </c>
      <c r="W118" s="109">
        <f t="shared" si="86"/>
        <v>647</v>
      </c>
      <c r="X118" s="109">
        <f t="shared" si="86"/>
        <v>784</v>
      </c>
      <c r="Y118" s="109">
        <f t="shared" si="86"/>
        <v>363</v>
      </c>
      <c r="Z118" s="109">
        <f t="shared" si="86"/>
        <v>588</v>
      </c>
      <c r="AA118" s="109">
        <f t="shared" si="86"/>
        <v>669</v>
      </c>
      <c r="AB118" s="109">
        <f t="shared" si="86"/>
        <v>766</v>
      </c>
      <c r="AC118" s="109">
        <f t="shared" si="86"/>
        <v>419</v>
      </c>
      <c r="AD118" s="109">
        <f t="shared" si="86"/>
        <v>638</v>
      </c>
      <c r="AE118" s="109">
        <f t="shared" si="86"/>
        <v>700</v>
      </c>
      <c r="AF118" s="109">
        <f t="shared" si="86"/>
        <v>716</v>
      </c>
      <c r="AG118" s="109">
        <f t="shared" si="86"/>
        <v>511</v>
      </c>
      <c r="AH118" s="109">
        <f t="shared" si="86"/>
        <v>738</v>
      </c>
      <c r="AI118" s="90">
        <f t="shared" si="86"/>
        <v>774</v>
      </c>
      <c r="AJ118" s="90">
        <f t="shared" si="86"/>
        <v>858</v>
      </c>
      <c r="AK118" s="90">
        <f t="shared" si="86"/>
        <v>261</v>
      </c>
      <c r="AL118" s="90">
        <f t="shared" si="86"/>
        <v>518</v>
      </c>
      <c r="AM118" s="90">
        <f t="shared" si="86"/>
        <v>583</v>
      </c>
      <c r="AN118" s="90">
        <f t="shared" si="86"/>
        <v>688</v>
      </c>
      <c r="AO118" s="90">
        <f t="shared" si="86"/>
        <v>257</v>
      </c>
      <c r="AP118" s="90">
        <f t="shared" si="86"/>
        <v>503</v>
      </c>
      <c r="AQ118" s="90">
        <f t="shared" si="86"/>
        <v>577</v>
      </c>
      <c r="AR118" s="90">
        <f>SUM(AR113:AR117)</f>
        <v>630</v>
      </c>
      <c r="AS118" s="90">
        <f>SUM(AS113:AS117)</f>
        <v>364</v>
      </c>
      <c r="AT118" s="90">
        <f>SUM(AT113:AT117)</f>
        <v>624</v>
      </c>
      <c r="AU118" s="110">
        <v>683</v>
      </c>
      <c r="AV118" s="90">
        <f>SUM(AV113:AV117)</f>
        <v>733</v>
      </c>
      <c r="AW118" s="90">
        <f>SUM(AW113:AW117)</f>
        <v>317</v>
      </c>
      <c r="AX118" s="90">
        <f>SUM(AX113:AX117)</f>
        <v>492</v>
      </c>
      <c r="AY118" s="90">
        <v>560</v>
      </c>
      <c r="AZ118" s="90">
        <v>687</v>
      </c>
      <c r="BA118" s="109">
        <v>264</v>
      </c>
      <c r="BC118" s="104"/>
      <c r="BD118" s="104"/>
    </row>
    <row r="119" spans="1:56" ht="14.1" customHeight="1" outlineLevel="1" x14ac:dyDescent="0.25">
      <c r="A119" s="66"/>
      <c r="B119" s="60" t="s">
        <v>55</v>
      </c>
      <c r="C119" s="28">
        <v>17</v>
      </c>
      <c r="D119" s="28">
        <v>33</v>
      </c>
      <c r="E119" s="13">
        <v>14</v>
      </c>
      <c r="F119" s="13">
        <v>42</v>
      </c>
      <c r="G119" s="13">
        <v>149</v>
      </c>
      <c r="H119" s="13">
        <v>202</v>
      </c>
      <c r="I119" s="13">
        <v>29</v>
      </c>
      <c r="J119" s="13">
        <v>53</v>
      </c>
      <c r="K119" s="13">
        <v>141</v>
      </c>
      <c r="L119" s="13">
        <v>198</v>
      </c>
      <c r="M119" s="13">
        <v>20</v>
      </c>
      <c r="N119" s="13">
        <v>40</v>
      </c>
      <c r="O119" s="13">
        <v>99</v>
      </c>
      <c r="P119" s="13">
        <v>140</v>
      </c>
      <c r="Q119" s="13">
        <v>21</v>
      </c>
      <c r="R119" s="13">
        <v>40</v>
      </c>
      <c r="S119" s="13">
        <v>89</v>
      </c>
      <c r="T119" s="13">
        <v>139</v>
      </c>
      <c r="U119" s="13">
        <v>23</v>
      </c>
      <c r="V119" s="13">
        <v>39</v>
      </c>
      <c r="W119" s="13">
        <v>98</v>
      </c>
      <c r="X119" s="13">
        <v>153</v>
      </c>
      <c r="Y119" s="13">
        <v>21</v>
      </c>
      <c r="Z119" s="13">
        <v>46</v>
      </c>
      <c r="AA119" s="13">
        <v>107</v>
      </c>
      <c r="AB119" s="13">
        <v>172</v>
      </c>
      <c r="AC119" s="13">
        <v>31</v>
      </c>
      <c r="AD119" s="13">
        <v>55</v>
      </c>
      <c r="AE119" s="13">
        <v>92</v>
      </c>
      <c r="AF119" s="13">
        <v>118</v>
      </c>
      <c r="AG119" s="13">
        <v>32</v>
      </c>
      <c r="AH119" s="13">
        <v>48</v>
      </c>
      <c r="AI119" s="13">
        <v>136</v>
      </c>
      <c r="AJ119" s="13">
        <v>215</v>
      </c>
      <c r="AK119" s="13">
        <v>42</v>
      </c>
      <c r="AL119" s="13">
        <v>54</v>
      </c>
      <c r="AM119" s="13">
        <v>153</v>
      </c>
      <c r="AN119" s="13">
        <v>208</v>
      </c>
      <c r="AO119" s="13">
        <v>54</v>
      </c>
      <c r="AP119" s="13">
        <v>86</v>
      </c>
      <c r="AQ119" s="13">
        <v>122</v>
      </c>
      <c r="AR119" s="13">
        <v>142</v>
      </c>
      <c r="AS119" s="73">
        <v>29</v>
      </c>
      <c r="AT119" s="73">
        <v>55</v>
      </c>
      <c r="AU119" s="73">
        <v>108</v>
      </c>
      <c r="AV119" s="3">
        <v>202</v>
      </c>
      <c r="AW119" s="3">
        <v>53</v>
      </c>
      <c r="AX119" s="3">
        <v>93</v>
      </c>
      <c r="AY119" s="44"/>
      <c r="AZ119" s="44"/>
      <c r="BA119" s="62"/>
      <c r="BD119" s="104"/>
    </row>
    <row r="120" spans="1:56" ht="14.1" customHeight="1" outlineLevel="1" x14ac:dyDescent="0.25">
      <c r="A120" s="66"/>
      <c r="B120" s="60" t="s">
        <v>56</v>
      </c>
      <c r="C120" s="28">
        <v>368</v>
      </c>
      <c r="D120" s="28">
        <v>544</v>
      </c>
      <c r="E120" s="13">
        <v>83</v>
      </c>
      <c r="F120" s="13">
        <v>176</v>
      </c>
      <c r="G120" s="13">
        <v>383</v>
      </c>
      <c r="H120" s="13">
        <v>524</v>
      </c>
      <c r="I120" s="13">
        <v>179</v>
      </c>
      <c r="J120" s="13">
        <v>279</v>
      </c>
      <c r="K120" s="13">
        <v>471</v>
      </c>
      <c r="L120" s="13">
        <v>697</v>
      </c>
      <c r="M120" s="13">
        <v>160</v>
      </c>
      <c r="N120" s="13">
        <v>250</v>
      </c>
      <c r="O120" s="13">
        <v>412</v>
      </c>
      <c r="P120" s="13">
        <v>609</v>
      </c>
      <c r="Q120" s="13">
        <v>141</v>
      </c>
      <c r="R120" s="13">
        <v>268</v>
      </c>
      <c r="S120" s="13">
        <v>442</v>
      </c>
      <c r="T120" s="13">
        <v>668</v>
      </c>
      <c r="U120" s="13">
        <v>188</v>
      </c>
      <c r="V120" s="13">
        <v>283</v>
      </c>
      <c r="W120" s="13">
        <v>433</v>
      </c>
      <c r="X120" s="13">
        <v>672</v>
      </c>
      <c r="Y120" s="13">
        <v>204</v>
      </c>
      <c r="Z120" s="13">
        <v>301</v>
      </c>
      <c r="AA120" s="13">
        <v>455</v>
      </c>
      <c r="AB120" s="13">
        <v>746</v>
      </c>
      <c r="AC120" s="13">
        <v>184</v>
      </c>
      <c r="AD120" s="13">
        <v>316</v>
      </c>
      <c r="AE120" s="13">
        <v>437</v>
      </c>
      <c r="AF120" s="13">
        <v>665</v>
      </c>
      <c r="AG120" s="13">
        <v>214</v>
      </c>
      <c r="AH120" s="13">
        <v>318</v>
      </c>
      <c r="AI120" s="13">
        <v>436</v>
      </c>
      <c r="AJ120" s="13">
        <v>674</v>
      </c>
      <c r="AK120" s="13">
        <v>260</v>
      </c>
      <c r="AL120" s="13">
        <v>375</v>
      </c>
      <c r="AM120" s="13">
        <v>532</v>
      </c>
      <c r="AN120" s="13">
        <v>779</v>
      </c>
      <c r="AO120" s="13">
        <v>276</v>
      </c>
      <c r="AP120" s="13">
        <v>389</v>
      </c>
      <c r="AQ120" s="73">
        <v>499</v>
      </c>
      <c r="AR120" s="73">
        <v>708</v>
      </c>
      <c r="AS120" s="73">
        <v>258</v>
      </c>
      <c r="AT120" s="73">
        <v>423</v>
      </c>
      <c r="AU120" s="73">
        <v>544</v>
      </c>
      <c r="AV120" s="3">
        <v>816</v>
      </c>
      <c r="AW120" s="3">
        <v>231</v>
      </c>
      <c r="AX120" s="3">
        <v>326</v>
      </c>
      <c r="AY120" s="44"/>
      <c r="AZ120" s="44"/>
      <c r="BA120" s="62"/>
      <c r="BD120" s="104"/>
    </row>
    <row r="121" spans="1:56" ht="14.1" customHeight="1" outlineLevel="1" x14ac:dyDescent="0.25">
      <c r="A121" s="66"/>
      <c r="B121" s="106" t="s">
        <v>231</v>
      </c>
      <c r="C121" s="109">
        <f t="shared" ref="C121:AS121" si="87">SUM(C119:C120)</f>
        <v>385</v>
      </c>
      <c r="D121" s="109">
        <f t="shared" si="87"/>
        <v>577</v>
      </c>
      <c r="E121" s="109">
        <f t="shared" si="87"/>
        <v>97</v>
      </c>
      <c r="F121" s="109">
        <f t="shared" si="87"/>
        <v>218</v>
      </c>
      <c r="G121" s="109">
        <f t="shared" si="87"/>
        <v>532</v>
      </c>
      <c r="H121" s="109">
        <f t="shared" si="87"/>
        <v>726</v>
      </c>
      <c r="I121" s="109">
        <f t="shared" si="87"/>
        <v>208</v>
      </c>
      <c r="J121" s="109">
        <f t="shared" si="87"/>
        <v>332</v>
      </c>
      <c r="K121" s="109">
        <f t="shared" si="87"/>
        <v>612</v>
      </c>
      <c r="L121" s="109">
        <f t="shared" si="87"/>
        <v>895</v>
      </c>
      <c r="M121" s="109">
        <f t="shared" si="87"/>
        <v>180</v>
      </c>
      <c r="N121" s="109">
        <f t="shared" si="87"/>
        <v>290</v>
      </c>
      <c r="O121" s="109">
        <f t="shared" si="87"/>
        <v>511</v>
      </c>
      <c r="P121" s="109">
        <f t="shared" si="87"/>
        <v>749</v>
      </c>
      <c r="Q121" s="109">
        <f t="shared" si="87"/>
        <v>162</v>
      </c>
      <c r="R121" s="109">
        <f t="shared" si="87"/>
        <v>308</v>
      </c>
      <c r="S121" s="109">
        <f t="shared" si="87"/>
        <v>531</v>
      </c>
      <c r="T121" s="109">
        <f t="shared" si="87"/>
        <v>807</v>
      </c>
      <c r="U121" s="109">
        <f t="shared" si="87"/>
        <v>211</v>
      </c>
      <c r="V121" s="109">
        <f t="shared" si="87"/>
        <v>322</v>
      </c>
      <c r="W121" s="109">
        <f t="shared" si="87"/>
        <v>531</v>
      </c>
      <c r="X121" s="109">
        <f t="shared" si="87"/>
        <v>825</v>
      </c>
      <c r="Y121" s="109">
        <f t="shared" si="87"/>
        <v>225</v>
      </c>
      <c r="Z121" s="109">
        <f t="shared" si="87"/>
        <v>347</v>
      </c>
      <c r="AA121" s="109">
        <f t="shared" si="87"/>
        <v>562</v>
      </c>
      <c r="AB121" s="109">
        <f t="shared" si="87"/>
        <v>918</v>
      </c>
      <c r="AC121" s="109">
        <f t="shared" si="87"/>
        <v>215</v>
      </c>
      <c r="AD121" s="109">
        <f t="shared" si="87"/>
        <v>371</v>
      </c>
      <c r="AE121" s="109">
        <f t="shared" si="87"/>
        <v>529</v>
      </c>
      <c r="AF121" s="109">
        <f t="shared" si="87"/>
        <v>783</v>
      </c>
      <c r="AG121" s="109">
        <f t="shared" si="87"/>
        <v>246</v>
      </c>
      <c r="AH121" s="109">
        <f t="shared" si="87"/>
        <v>366</v>
      </c>
      <c r="AI121" s="90">
        <f t="shared" si="87"/>
        <v>572</v>
      </c>
      <c r="AJ121" s="90">
        <f t="shared" si="87"/>
        <v>889</v>
      </c>
      <c r="AK121" s="90">
        <f t="shared" si="87"/>
        <v>302</v>
      </c>
      <c r="AL121" s="90">
        <f t="shared" si="87"/>
        <v>429</v>
      </c>
      <c r="AM121" s="90">
        <f t="shared" si="87"/>
        <v>685</v>
      </c>
      <c r="AN121" s="90">
        <f t="shared" si="87"/>
        <v>987</v>
      </c>
      <c r="AO121" s="90">
        <f t="shared" si="87"/>
        <v>330</v>
      </c>
      <c r="AP121" s="90">
        <f t="shared" si="87"/>
        <v>475</v>
      </c>
      <c r="AQ121" s="90">
        <f t="shared" si="87"/>
        <v>621</v>
      </c>
      <c r="AR121" s="90">
        <f t="shared" si="87"/>
        <v>850</v>
      </c>
      <c r="AS121" s="90">
        <f t="shared" si="87"/>
        <v>287</v>
      </c>
      <c r="AT121" s="90">
        <f>SUM(AT119:AT120)</f>
        <v>478</v>
      </c>
      <c r="AU121" s="111">
        <v>651</v>
      </c>
      <c r="AV121" s="90">
        <f>SUM(AV119:AV120)</f>
        <v>1018</v>
      </c>
      <c r="AW121" s="90">
        <f>SUM(AW119:AW120)</f>
        <v>284</v>
      </c>
      <c r="AX121" s="90">
        <f>SUM(AX119:AX120)</f>
        <v>419</v>
      </c>
      <c r="AY121" s="90">
        <v>704</v>
      </c>
      <c r="AZ121" s="90">
        <v>981</v>
      </c>
      <c r="BA121" s="109">
        <v>269</v>
      </c>
      <c r="BC121" s="104"/>
      <c r="BD121" s="104"/>
    </row>
    <row r="122" spans="1:56" ht="14.1" customHeight="1" outlineLevel="1" x14ac:dyDescent="0.25">
      <c r="A122" s="66"/>
      <c r="B122" s="60" t="s">
        <v>191</v>
      </c>
      <c r="C122" s="28"/>
      <c r="D122" s="28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73">
        <v>3</v>
      </c>
      <c r="AT122" s="73">
        <v>5</v>
      </c>
      <c r="AU122" s="73"/>
      <c r="AV122" s="3"/>
      <c r="AW122" s="3">
        <v>10</v>
      </c>
      <c r="AX122" s="3">
        <v>13</v>
      </c>
      <c r="AY122" s="44"/>
      <c r="AZ122" s="44"/>
      <c r="BA122" s="62"/>
    </row>
    <row r="123" spans="1:56" ht="14.1" customHeight="1" outlineLevel="1" x14ac:dyDescent="0.25">
      <c r="A123" s="66"/>
      <c r="B123" s="60" t="s">
        <v>216</v>
      </c>
      <c r="C123" s="28"/>
      <c r="D123" s="28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73"/>
      <c r="AR123" s="73"/>
      <c r="AS123" s="73">
        <v>6</v>
      </c>
      <c r="AT123" s="73">
        <v>14</v>
      </c>
      <c r="AU123" s="73"/>
      <c r="AV123" s="13"/>
      <c r="AW123" s="13">
        <v>8</v>
      </c>
      <c r="AX123" s="3">
        <v>16</v>
      </c>
      <c r="AY123" s="44"/>
      <c r="AZ123" s="44"/>
      <c r="BA123" s="62"/>
    </row>
    <row r="124" spans="1:56" ht="14.1" customHeight="1" outlineLevel="1" x14ac:dyDescent="0.25">
      <c r="A124" s="66"/>
      <c r="B124" s="107" t="s">
        <v>232</v>
      </c>
      <c r="C124" s="30"/>
      <c r="D124" s="3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75"/>
      <c r="AR124" s="75"/>
      <c r="AS124" s="90">
        <f>SUM(AS122:AS123)</f>
        <v>9</v>
      </c>
      <c r="AT124" s="90">
        <f>SUM(AT122:AT123)</f>
        <v>19</v>
      </c>
      <c r="AU124" s="108">
        <v>26</v>
      </c>
      <c r="AV124" s="113">
        <v>41</v>
      </c>
      <c r="AW124" s="90">
        <f>SUM(AW122:AW123)</f>
        <v>18</v>
      </c>
      <c r="AX124" s="90">
        <f>SUM(AX122:AX123)</f>
        <v>29</v>
      </c>
      <c r="AY124" s="90">
        <v>43</v>
      </c>
      <c r="AZ124" s="90">
        <v>58</v>
      </c>
      <c r="BA124" s="109">
        <v>30</v>
      </c>
      <c r="BC124" s="104"/>
      <c r="BD124" s="104"/>
    </row>
    <row r="125" spans="1:56" ht="14.1" customHeight="1" outlineLevel="1" x14ac:dyDescent="0.25">
      <c r="A125" s="66"/>
      <c r="B125" s="6" t="s">
        <v>49</v>
      </c>
      <c r="C125" s="31">
        <v>502</v>
      </c>
      <c r="D125" s="31">
        <v>518</v>
      </c>
      <c r="E125" s="31">
        <v>284</v>
      </c>
      <c r="F125" s="31">
        <v>291</v>
      </c>
      <c r="G125" s="31">
        <v>290</v>
      </c>
      <c r="H125" s="31">
        <v>287</v>
      </c>
      <c r="I125" s="31">
        <v>308</v>
      </c>
      <c r="J125" s="31">
        <v>301</v>
      </c>
      <c r="K125" s="31">
        <v>321</v>
      </c>
      <c r="L125" s="31">
        <v>339</v>
      </c>
      <c r="M125" s="31">
        <v>359</v>
      </c>
      <c r="N125" s="31">
        <v>380</v>
      </c>
      <c r="O125" s="31">
        <v>412</v>
      </c>
      <c r="P125" s="31">
        <v>430</v>
      </c>
      <c r="Q125" s="31">
        <v>392</v>
      </c>
      <c r="R125" s="31">
        <v>409</v>
      </c>
      <c r="S125" s="31">
        <v>423</v>
      </c>
      <c r="T125" s="31">
        <v>429</v>
      </c>
      <c r="U125" s="31">
        <v>426</v>
      </c>
      <c r="V125" s="31">
        <v>418</v>
      </c>
      <c r="W125" s="31">
        <v>416</v>
      </c>
      <c r="X125" s="31">
        <v>405</v>
      </c>
      <c r="Y125" s="31">
        <v>359</v>
      </c>
      <c r="Z125" s="31">
        <v>356</v>
      </c>
      <c r="AA125" s="7">
        <v>367</v>
      </c>
      <c r="AB125" s="7">
        <v>377</v>
      </c>
      <c r="AC125" s="7">
        <v>339</v>
      </c>
      <c r="AD125" s="7">
        <v>334</v>
      </c>
      <c r="AE125" s="7">
        <v>340</v>
      </c>
      <c r="AF125" s="7">
        <v>345</v>
      </c>
      <c r="AG125" s="7">
        <v>297</v>
      </c>
      <c r="AH125" s="7">
        <v>294</v>
      </c>
      <c r="AI125" s="7">
        <v>299</v>
      </c>
      <c r="AJ125" s="7">
        <v>297</v>
      </c>
      <c r="AK125" s="7">
        <v>272</v>
      </c>
      <c r="AL125" s="7">
        <v>263</v>
      </c>
      <c r="AM125" s="7">
        <v>275</v>
      </c>
      <c r="AN125" s="7">
        <v>279</v>
      </c>
      <c r="AO125" s="7">
        <v>286</v>
      </c>
      <c r="AP125" s="7">
        <v>281</v>
      </c>
      <c r="AQ125" s="7">
        <v>284</v>
      </c>
      <c r="AR125" s="7">
        <v>294</v>
      </c>
      <c r="AS125" s="7">
        <v>301</v>
      </c>
      <c r="AT125" s="7">
        <v>300</v>
      </c>
      <c r="AU125" s="7">
        <v>304</v>
      </c>
      <c r="AV125" s="7">
        <v>302</v>
      </c>
      <c r="AW125" s="7">
        <v>264</v>
      </c>
      <c r="AX125" s="7">
        <v>262</v>
      </c>
      <c r="AY125" s="7">
        <v>264</v>
      </c>
      <c r="AZ125" s="7">
        <v>266</v>
      </c>
      <c r="BA125" s="7">
        <v>339</v>
      </c>
    </row>
    <row r="126" spans="1:56" ht="14.1" customHeight="1" outlineLevel="1" x14ac:dyDescent="0.25">
      <c r="A126" s="66"/>
      <c r="B126" s="23" t="s">
        <v>59</v>
      </c>
      <c r="C126" s="24">
        <f t="shared" ref="C126:AX126" si="88">C130+C133+C135</f>
        <v>935</v>
      </c>
      <c r="D126" s="24">
        <f t="shared" si="88"/>
        <v>1123</v>
      </c>
      <c r="E126" s="24">
        <f t="shared" si="88"/>
        <v>231</v>
      </c>
      <c r="F126" s="24">
        <f t="shared" si="88"/>
        <v>361</v>
      </c>
      <c r="G126" s="24">
        <f t="shared" si="88"/>
        <v>765</v>
      </c>
      <c r="H126" s="24">
        <f t="shared" si="88"/>
        <v>1110</v>
      </c>
      <c r="I126" s="24">
        <f t="shared" si="88"/>
        <v>363</v>
      </c>
      <c r="J126" s="24">
        <f t="shared" si="88"/>
        <v>674</v>
      </c>
      <c r="K126" s="24">
        <f t="shared" si="88"/>
        <v>1078</v>
      </c>
      <c r="L126" s="24">
        <f t="shared" si="88"/>
        <v>1448</v>
      </c>
      <c r="M126" s="24">
        <f t="shared" si="88"/>
        <v>341</v>
      </c>
      <c r="N126" s="24">
        <f t="shared" si="88"/>
        <v>720</v>
      </c>
      <c r="O126" s="24">
        <f t="shared" si="88"/>
        <v>1077</v>
      </c>
      <c r="P126" s="24">
        <f t="shared" si="88"/>
        <v>1386</v>
      </c>
      <c r="Q126" s="24">
        <f t="shared" si="88"/>
        <v>301</v>
      </c>
      <c r="R126" s="24">
        <f t="shared" si="88"/>
        <v>715</v>
      </c>
      <c r="S126" s="24">
        <f t="shared" si="88"/>
        <v>1086</v>
      </c>
      <c r="T126" s="24">
        <f t="shared" si="88"/>
        <v>1423</v>
      </c>
      <c r="U126" s="24">
        <f t="shared" si="88"/>
        <v>351</v>
      </c>
      <c r="V126" s="24">
        <f t="shared" si="88"/>
        <v>721</v>
      </c>
      <c r="W126" s="24">
        <f t="shared" si="88"/>
        <v>1109</v>
      </c>
      <c r="X126" s="24">
        <f t="shared" si="88"/>
        <v>1409</v>
      </c>
      <c r="Y126" s="24">
        <f t="shared" si="88"/>
        <v>401</v>
      </c>
      <c r="Z126" s="24">
        <f t="shared" si="88"/>
        <v>785</v>
      </c>
      <c r="AA126" s="24">
        <f t="shared" si="88"/>
        <v>1122</v>
      </c>
      <c r="AB126" s="24">
        <f t="shared" si="88"/>
        <v>1488</v>
      </c>
      <c r="AC126" s="24">
        <f t="shared" si="88"/>
        <v>352</v>
      </c>
      <c r="AD126" s="24">
        <f t="shared" si="88"/>
        <v>695</v>
      </c>
      <c r="AE126" s="24">
        <f t="shared" si="88"/>
        <v>1043</v>
      </c>
      <c r="AF126" s="24">
        <f t="shared" si="88"/>
        <v>1373</v>
      </c>
      <c r="AG126" s="24">
        <f t="shared" si="88"/>
        <v>376</v>
      </c>
      <c r="AH126" s="24">
        <f t="shared" si="88"/>
        <v>729</v>
      </c>
      <c r="AI126" s="24">
        <f t="shared" si="88"/>
        <v>968</v>
      </c>
      <c r="AJ126" s="24">
        <f t="shared" si="88"/>
        <v>1297</v>
      </c>
      <c r="AK126" s="24">
        <f t="shared" si="88"/>
        <v>432</v>
      </c>
      <c r="AL126" s="24">
        <f t="shared" si="88"/>
        <v>790</v>
      </c>
      <c r="AM126" s="24">
        <f t="shared" si="88"/>
        <v>1173</v>
      </c>
      <c r="AN126" s="24">
        <f t="shared" si="88"/>
        <v>1576</v>
      </c>
      <c r="AO126" s="24">
        <f t="shared" si="88"/>
        <v>434.79700000000003</v>
      </c>
      <c r="AP126" s="24">
        <f t="shared" si="88"/>
        <v>874.55700000000002</v>
      </c>
      <c r="AQ126" s="24">
        <f t="shared" si="88"/>
        <v>1294.557</v>
      </c>
      <c r="AR126" s="24">
        <f t="shared" si="88"/>
        <v>1604</v>
      </c>
      <c r="AS126" s="24">
        <f t="shared" si="88"/>
        <v>430</v>
      </c>
      <c r="AT126" s="24">
        <f t="shared" si="88"/>
        <v>898</v>
      </c>
      <c r="AU126" s="24">
        <f t="shared" si="88"/>
        <v>1340</v>
      </c>
      <c r="AV126" s="24">
        <f t="shared" si="88"/>
        <v>1679</v>
      </c>
      <c r="AW126" s="24">
        <f t="shared" si="88"/>
        <v>478</v>
      </c>
      <c r="AX126" s="24">
        <f t="shared" si="88"/>
        <v>906</v>
      </c>
      <c r="AY126" s="24">
        <f>AY130+AY133+AY135</f>
        <v>1298</v>
      </c>
      <c r="AZ126" s="24">
        <f>AZ130+AZ133+AZ135</f>
        <v>1790</v>
      </c>
      <c r="BA126" s="24">
        <f>BA130+BA133+BA135</f>
        <v>467</v>
      </c>
    </row>
    <row r="127" spans="1:56" ht="14.1" customHeight="1" outlineLevel="1" x14ac:dyDescent="0.25">
      <c r="A127" s="66"/>
      <c r="B127" s="60" t="s">
        <v>50</v>
      </c>
      <c r="C127" s="28">
        <v>250</v>
      </c>
      <c r="D127" s="13">
        <v>327</v>
      </c>
      <c r="E127" s="13">
        <v>111</v>
      </c>
      <c r="F127" s="13">
        <v>122</v>
      </c>
      <c r="G127" s="13">
        <v>208</v>
      </c>
      <c r="H127" s="13">
        <v>310</v>
      </c>
      <c r="I127" s="13">
        <v>99</v>
      </c>
      <c r="J127" s="13">
        <v>145</v>
      </c>
      <c r="K127" s="13">
        <v>226</v>
      </c>
      <c r="L127" s="13">
        <v>337</v>
      </c>
      <c r="M127" s="13">
        <v>95</v>
      </c>
      <c r="N127" s="13">
        <v>156</v>
      </c>
      <c r="O127" s="13">
        <v>241</v>
      </c>
      <c r="P127" s="13">
        <v>343</v>
      </c>
      <c r="Q127" s="13">
        <v>85</v>
      </c>
      <c r="R127" s="13">
        <v>127</v>
      </c>
      <c r="S127" s="13">
        <v>224</v>
      </c>
      <c r="T127" s="13">
        <v>305</v>
      </c>
      <c r="U127" s="13">
        <v>55</v>
      </c>
      <c r="V127" s="13">
        <v>98</v>
      </c>
      <c r="W127" s="13">
        <v>202</v>
      </c>
      <c r="X127" s="13">
        <v>266</v>
      </c>
      <c r="Y127" s="13">
        <v>100</v>
      </c>
      <c r="Z127" s="13">
        <v>122</v>
      </c>
      <c r="AA127" s="13">
        <v>181</v>
      </c>
      <c r="AB127" s="13">
        <v>266</v>
      </c>
      <c r="AC127" s="13">
        <v>91</v>
      </c>
      <c r="AD127" s="13">
        <v>120</v>
      </c>
      <c r="AE127" s="13">
        <v>226</v>
      </c>
      <c r="AF127" s="13">
        <v>256</v>
      </c>
      <c r="AG127" s="13">
        <v>68</v>
      </c>
      <c r="AH127" s="13">
        <v>130</v>
      </c>
      <c r="AI127" s="13">
        <v>139</v>
      </c>
      <c r="AJ127" s="13">
        <v>222</v>
      </c>
      <c r="AK127" s="13">
        <v>160</v>
      </c>
      <c r="AL127" s="13">
        <v>266</v>
      </c>
      <c r="AM127" s="13">
        <v>350</v>
      </c>
      <c r="AN127" s="13">
        <v>490</v>
      </c>
      <c r="AO127" s="13">
        <v>168</v>
      </c>
      <c r="AP127" s="13">
        <v>294</v>
      </c>
      <c r="AQ127" s="13">
        <v>335</v>
      </c>
      <c r="AR127" s="3">
        <v>430</v>
      </c>
      <c r="AS127" s="62">
        <v>112</v>
      </c>
      <c r="AT127" s="62">
        <v>227</v>
      </c>
      <c r="AU127" s="62">
        <v>306</v>
      </c>
      <c r="AV127" s="62">
        <v>383</v>
      </c>
      <c r="AW127" s="62">
        <v>140</v>
      </c>
      <c r="AX127" s="62">
        <v>249</v>
      </c>
      <c r="AY127" s="109"/>
      <c r="AZ127" s="109"/>
      <c r="BA127" s="62"/>
    </row>
    <row r="128" spans="1:56" ht="14.1" customHeight="1" outlineLevel="1" x14ac:dyDescent="0.25">
      <c r="A128" s="66"/>
      <c r="B128" s="60" t="s">
        <v>52</v>
      </c>
      <c r="C128" s="28">
        <v>138</v>
      </c>
      <c r="D128" s="13">
        <v>174</v>
      </c>
      <c r="E128" s="13">
        <v>50</v>
      </c>
      <c r="F128" s="13">
        <v>53</v>
      </c>
      <c r="G128" s="13">
        <v>83</v>
      </c>
      <c r="H128" s="13">
        <v>132</v>
      </c>
      <c r="I128" s="13">
        <v>62</v>
      </c>
      <c r="J128" s="13">
        <v>124</v>
      </c>
      <c r="K128" s="13">
        <v>140</v>
      </c>
      <c r="L128" s="13">
        <v>194</v>
      </c>
      <c r="M128" s="13">
        <v>69</v>
      </c>
      <c r="N128" s="13">
        <v>166</v>
      </c>
      <c r="O128" s="13">
        <v>193</v>
      </c>
      <c r="P128" s="13">
        <v>253</v>
      </c>
      <c r="Q128" s="13">
        <v>76</v>
      </c>
      <c r="R128" s="13">
        <v>186</v>
      </c>
      <c r="S128" s="13">
        <v>219</v>
      </c>
      <c r="T128" s="13">
        <v>297</v>
      </c>
      <c r="U128" s="13">
        <v>97</v>
      </c>
      <c r="V128" s="13">
        <v>196</v>
      </c>
      <c r="W128" s="13">
        <v>229</v>
      </c>
      <c r="X128" s="13">
        <v>329</v>
      </c>
      <c r="Y128" s="13">
        <v>62</v>
      </c>
      <c r="Z128" s="13">
        <v>175</v>
      </c>
      <c r="AA128" s="13">
        <v>214</v>
      </c>
      <c r="AB128" s="13">
        <v>290</v>
      </c>
      <c r="AC128" s="13">
        <v>67</v>
      </c>
      <c r="AD128" s="13">
        <v>180</v>
      </c>
      <c r="AE128" s="13">
        <v>204</v>
      </c>
      <c r="AF128" s="13">
        <v>323</v>
      </c>
      <c r="AG128" s="13">
        <v>92</v>
      </c>
      <c r="AH128" s="13">
        <v>182</v>
      </c>
      <c r="AI128" s="13">
        <v>182</v>
      </c>
      <c r="AJ128" s="13">
        <v>202</v>
      </c>
      <c r="AK128" s="13">
        <v>7</v>
      </c>
      <c r="AL128" s="13">
        <v>7</v>
      </c>
      <c r="AM128" s="13">
        <v>60</v>
      </c>
      <c r="AN128" s="13">
        <v>85</v>
      </c>
      <c r="AO128" s="13">
        <v>7</v>
      </c>
      <c r="AP128" s="13">
        <v>41</v>
      </c>
      <c r="AQ128" s="13">
        <v>135</v>
      </c>
      <c r="AR128" s="3">
        <v>168</v>
      </c>
      <c r="AS128" s="62">
        <v>45</v>
      </c>
      <c r="AT128" s="62">
        <v>92</v>
      </c>
      <c r="AU128" s="62">
        <v>157</v>
      </c>
      <c r="AV128" s="62">
        <v>207</v>
      </c>
      <c r="AW128" s="62">
        <v>31</v>
      </c>
      <c r="AX128" s="62">
        <v>80</v>
      </c>
      <c r="AY128" s="109"/>
      <c r="AZ128" s="109"/>
      <c r="BA128" s="62"/>
    </row>
    <row r="129" spans="1:53" ht="14.1" customHeight="1" outlineLevel="1" x14ac:dyDescent="0.25">
      <c r="A129" s="66"/>
      <c r="B129" s="60" t="s">
        <v>62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0</v>
      </c>
      <c r="AL129" s="13">
        <v>8</v>
      </c>
      <c r="AM129" s="13">
        <v>8</v>
      </c>
      <c r="AN129" s="13">
        <v>14</v>
      </c>
      <c r="AO129" s="13">
        <v>9.7970000000000006</v>
      </c>
      <c r="AP129" s="13">
        <v>15.557</v>
      </c>
      <c r="AQ129" s="13">
        <v>15.557</v>
      </c>
      <c r="AR129" s="3">
        <v>19</v>
      </c>
      <c r="AS129" s="13">
        <v>4</v>
      </c>
      <c r="AT129" s="13">
        <v>8</v>
      </c>
      <c r="AU129" s="13">
        <v>8</v>
      </c>
      <c r="AV129" s="62">
        <v>10</v>
      </c>
      <c r="AW129" s="62">
        <v>11</v>
      </c>
      <c r="AX129" s="62">
        <v>13</v>
      </c>
      <c r="AY129" s="109"/>
      <c r="AZ129" s="109"/>
      <c r="BA129" s="62"/>
    </row>
    <row r="130" spans="1:53" ht="14.1" customHeight="1" outlineLevel="1" x14ac:dyDescent="0.25">
      <c r="A130" s="66"/>
      <c r="B130" s="106" t="s">
        <v>230</v>
      </c>
      <c r="C130" s="109">
        <f t="shared" ref="C130:AW130" si="89">SUM(C127:C129)</f>
        <v>388</v>
      </c>
      <c r="D130" s="109">
        <f t="shared" si="89"/>
        <v>501</v>
      </c>
      <c r="E130" s="109">
        <f t="shared" si="89"/>
        <v>161</v>
      </c>
      <c r="F130" s="109">
        <f t="shared" si="89"/>
        <v>175</v>
      </c>
      <c r="G130" s="109">
        <f t="shared" si="89"/>
        <v>291</v>
      </c>
      <c r="H130" s="109">
        <f t="shared" si="89"/>
        <v>442</v>
      </c>
      <c r="I130" s="109">
        <f t="shared" si="89"/>
        <v>161</v>
      </c>
      <c r="J130" s="109">
        <f t="shared" si="89"/>
        <v>269</v>
      </c>
      <c r="K130" s="109">
        <f t="shared" si="89"/>
        <v>366</v>
      </c>
      <c r="L130" s="109">
        <f t="shared" si="89"/>
        <v>531</v>
      </c>
      <c r="M130" s="109">
        <f t="shared" si="89"/>
        <v>164</v>
      </c>
      <c r="N130" s="109">
        <f t="shared" si="89"/>
        <v>322</v>
      </c>
      <c r="O130" s="109">
        <f t="shared" si="89"/>
        <v>434</v>
      </c>
      <c r="P130" s="109">
        <f t="shared" si="89"/>
        <v>596</v>
      </c>
      <c r="Q130" s="109">
        <f t="shared" si="89"/>
        <v>161</v>
      </c>
      <c r="R130" s="109">
        <f t="shared" si="89"/>
        <v>313</v>
      </c>
      <c r="S130" s="109">
        <f t="shared" si="89"/>
        <v>443</v>
      </c>
      <c r="T130" s="109">
        <f t="shared" si="89"/>
        <v>602</v>
      </c>
      <c r="U130" s="109">
        <f t="shared" si="89"/>
        <v>152</v>
      </c>
      <c r="V130" s="109">
        <f t="shared" si="89"/>
        <v>294</v>
      </c>
      <c r="W130" s="109">
        <f t="shared" si="89"/>
        <v>431</v>
      </c>
      <c r="X130" s="109">
        <f t="shared" si="89"/>
        <v>595</v>
      </c>
      <c r="Y130" s="109">
        <f t="shared" si="89"/>
        <v>162</v>
      </c>
      <c r="Z130" s="109">
        <f t="shared" si="89"/>
        <v>297</v>
      </c>
      <c r="AA130" s="109">
        <f t="shared" si="89"/>
        <v>395</v>
      </c>
      <c r="AB130" s="109">
        <f t="shared" si="89"/>
        <v>556</v>
      </c>
      <c r="AC130" s="109">
        <f t="shared" si="89"/>
        <v>158</v>
      </c>
      <c r="AD130" s="109">
        <f t="shared" si="89"/>
        <v>300</v>
      </c>
      <c r="AE130" s="109">
        <f t="shared" si="89"/>
        <v>430</v>
      </c>
      <c r="AF130" s="109">
        <f t="shared" si="89"/>
        <v>579</v>
      </c>
      <c r="AG130" s="109">
        <f t="shared" si="89"/>
        <v>160</v>
      </c>
      <c r="AH130" s="109">
        <f t="shared" si="89"/>
        <v>312</v>
      </c>
      <c r="AI130" s="109">
        <f t="shared" si="89"/>
        <v>321</v>
      </c>
      <c r="AJ130" s="109">
        <f t="shared" si="89"/>
        <v>424</v>
      </c>
      <c r="AK130" s="109">
        <f t="shared" si="89"/>
        <v>167</v>
      </c>
      <c r="AL130" s="109">
        <f t="shared" si="89"/>
        <v>281</v>
      </c>
      <c r="AM130" s="109">
        <f t="shared" si="89"/>
        <v>418</v>
      </c>
      <c r="AN130" s="109">
        <f t="shared" si="89"/>
        <v>589</v>
      </c>
      <c r="AO130" s="109">
        <f t="shared" si="89"/>
        <v>184.797</v>
      </c>
      <c r="AP130" s="109">
        <f t="shared" si="89"/>
        <v>350.55700000000002</v>
      </c>
      <c r="AQ130" s="109">
        <f t="shared" si="89"/>
        <v>485.55700000000002</v>
      </c>
      <c r="AR130" s="109">
        <f t="shared" si="89"/>
        <v>617</v>
      </c>
      <c r="AS130" s="109">
        <f t="shared" si="89"/>
        <v>161</v>
      </c>
      <c r="AT130" s="109">
        <f t="shared" si="89"/>
        <v>327</v>
      </c>
      <c r="AU130" s="109">
        <f t="shared" si="89"/>
        <v>471</v>
      </c>
      <c r="AV130" s="109">
        <f t="shared" si="89"/>
        <v>600</v>
      </c>
      <c r="AW130" s="109">
        <f t="shared" si="89"/>
        <v>182</v>
      </c>
      <c r="AX130" s="109">
        <f>SUM(AX127:AX129)</f>
        <v>342</v>
      </c>
      <c r="AY130" s="109">
        <v>448</v>
      </c>
      <c r="AZ130" s="109">
        <v>620</v>
      </c>
      <c r="BA130" s="109">
        <v>175</v>
      </c>
    </row>
    <row r="131" spans="1:53" ht="14.1" customHeight="1" outlineLevel="1" x14ac:dyDescent="0.25">
      <c r="A131" s="66"/>
      <c r="B131" s="60" t="s">
        <v>56</v>
      </c>
      <c r="C131" s="28">
        <v>515</v>
      </c>
      <c r="D131" s="13">
        <v>585</v>
      </c>
      <c r="E131" s="13">
        <v>59</v>
      </c>
      <c r="F131" s="13">
        <v>146</v>
      </c>
      <c r="G131" s="13">
        <v>341</v>
      </c>
      <c r="H131" s="13">
        <v>477</v>
      </c>
      <c r="I131" s="13">
        <v>155</v>
      </c>
      <c r="J131" s="13">
        <v>304</v>
      </c>
      <c r="K131" s="13">
        <v>523</v>
      </c>
      <c r="L131" s="13">
        <v>687</v>
      </c>
      <c r="M131" s="13">
        <v>152</v>
      </c>
      <c r="N131" s="13">
        <v>324</v>
      </c>
      <c r="O131" s="13">
        <v>513</v>
      </c>
      <c r="P131" s="13">
        <v>643</v>
      </c>
      <c r="Q131" s="13">
        <v>113</v>
      </c>
      <c r="R131" s="13">
        <v>324</v>
      </c>
      <c r="S131" s="13">
        <v>517</v>
      </c>
      <c r="T131" s="13">
        <v>665</v>
      </c>
      <c r="U131" s="13">
        <v>175</v>
      </c>
      <c r="V131" s="13">
        <v>361</v>
      </c>
      <c r="W131" s="13">
        <v>547</v>
      </c>
      <c r="X131" s="13">
        <v>656</v>
      </c>
      <c r="Y131" s="13">
        <v>215</v>
      </c>
      <c r="Z131" s="13">
        <v>417</v>
      </c>
      <c r="AA131" s="13">
        <v>588</v>
      </c>
      <c r="AB131" s="13">
        <v>775</v>
      </c>
      <c r="AC131" s="13">
        <v>178</v>
      </c>
      <c r="AD131" s="13">
        <v>338</v>
      </c>
      <c r="AE131" s="13">
        <v>526</v>
      </c>
      <c r="AF131" s="13">
        <v>679</v>
      </c>
      <c r="AG131" s="13">
        <v>193</v>
      </c>
      <c r="AH131" s="13">
        <v>361</v>
      </c>
      <c r="AI131" s="13">
        <v>532</v>
      </c>
      <c r="AJ131" s="13">
        <v>715</v>
      </c>
      <c r="AK131" s="13">
        <v>233</v>
      </c>
      <c r="AL131" s="13">
        <v>424</v>
      </c>
      <c r="AM131" s="13">
        <v>593</v>
      </c>
      <c r="AN131" s="13">
        <v>778</v>
      </c>
      <c r="AO131" s="13">
        <v>221</v>
      </c>
      <c r="AP131" s="73">
        <v>432</v>
      </c>
      <c r="AQ131" s="73">
        <v>625</v>
      </c>
      <c r="AR131" s="88">
        <v>741</v>
      </c>
      <c r="AS131" s="74">
        <v>240</v>
      </c>
      <c r="AT131" s="74">
        <v>462</v>
      </c>
      <c r="AU131" s="74">
        <v>687</v>
      </c>
      <c r="AV131" s="62">
        <v>851</v>
      </c>
      <c r="AW131" s="62">
        <v>239</v>
      </c>
      <c r="AX131" s="62">
        <v>427</v>
      </c>
      <c r="AY131" s="109"/>
      <c r="AZ131" s="109"/>
      <c r="BA131" s="62"/>
    </row>
    <row r="132" spans="1:53" ht="14.1" customHeight="1" outlineLevel="1" x14ac:dyDescent="0.25">
      <c r="A132" s="66"/>
      <c r="B132" s="60" t="s">
        <v>55</v>
      </c>
      <c r="C132" s="28">
        <v>32</v>
      </c>
      <c r="D132" s="13">
        <v>37</v>
      </c>
      <c r="E132" s="13">
        <v>11</v>
      </c>
      <c r="F132" s="13">
        <v>40</v>
      </c>
      <c r="G132" s="13">
        <v>133</v>
      </c>
      <c r="H132" s="13">
        <v>191</v>
      </c>
      <c r="I132" s="13">
        <v>47</v>
      </c>
      <c r="J132" s="13">
        <v>101</v>
      </c>
      <c r="K132" s="13">
        <v>189</v>
      </c>
      <c r="L132" s="13">
        <v>230</v>
      </c>
      <c r="M132" s="13">
        <v>25</v>
      </c>
      <c r="N132" s="13">
        <v>74</v>
      </c>
      <c r="O132" s="13">
        <v>130</v>
      </c>
      <c r="P132" s="13">
        <v>147</v>
      </c>
      <c r="Q132" s="13">
        <v>27</v>
      </c>
      <c r="R132" s="13">
        <v>78</v>
      </c>
      <c r="S132" s="13">
        <v>126</v>
      </c>
      <c r="T132" s="13">
        <v>156</v>
      </c>
      <c r="U132" s="13">
        <v>24</v>
      </c>
      <c r="V132" s="13">
        <v>66</v>
      </c>
      <c r="W132" s="13">
        <v>131</v>
      </c>
      <c r="X132" s="13">
        <v>158</v>
      </c>
      <c r="Y132" s="13">
        <v>24</v>
      </c>
      <c r="Z132" s="13">
        <v>71</v>
      </c>
      <c r="AA132" s="13">
        <v>139</v>
      </c>
      <c r="AB132" s="13">
        <v>157</v>
      </c>
      <c r="AC132" s="13">
        <v>16</v>
      </c>
      <c r="AD132" s="13">
        <v>57</v>
      </c>
      <c r="AE132" s="13">
        <v>87</v>
      </c>
      <c r="AF132" s="13">
        <v>115</v>
      </c>
      <c r="AG132" s="13">
        <v>23</v>
      </c>
      <c r="AH132" s="13">
        <v>56</v>
      </c>
      <c r="AI132" s="13">
        <v>115</v>
      </c>
      <c r="AJ132" s="13">
        <v>158</v>
      </c>
      <c r="AK132" s="13">
        <v>32</v>
      </c>
      <c r="AL132" s="13">
        <v>85</v>
      </c>
      <c r="AM132" s="13">
        <v>162</v>
      </c>
      <c r="AN132" s="13">
        <v>209</v>
      </c>
      <c r="AO132" s="13">
        <v>22</v>
      </c>
      <c r="AP132" s="13">
        <v>82</v>
      </c>
      <c r="AQ132" s="13">
        <v>172</v>
      </c>
      <c r="AR132" s="3">
        <v>232</v>
      </c>
      <c r="AS132" s="62">
        <v>27</v>
      </c>
      <c r="AT132" s="62">
        <v>104</v>
      </c>
      <c r="AU132" s="62">
        <v>169</v>
      </c>
      <c r="AV132" s="62">
        <v>210</v>
      </c>
      <c r="AW132" s="62">
        <v>44</v>
      </c>
      <c r="AX132" s="62">
        <v>123</v>
      </c>
      <c r="AY132" s="109"/>
      <c r="AZ132" s="109"/>
      <c r="BA132" s="62"/>
    </row>
    <row r="133" spans="1:53" ht="14.1" customHeight="1" outlineLevel="1" x14ac:dyDescent="0.25">
      <c r="A133" s="66"/>
      <c r="B133" s="106" t="s">
        <v>231</v>
      </c>
      <c r="C133" s="90">
        <f t="shared" ref="C133:AW133" si="90">SUM(C131:C132)</f>
        <v>547</v>
      </c>
      <c r="D133" s="90">
        <f t="shared" si="90"/>
        <v>622</v>
      </c>
      <c r="E133" s="90">
        <f t="shared" si="90"/>
        <v>70</v>
      </c>
      <c r="F133" s="90">
        <f t="shared" si="90"/>
        <v>186</v>
      </c>
      <c r="G133" s="90">
        <f t="shared" si="90"/>
        <v>474</v>
      </c>
      <c r="H133" s="90">
        <f t="shared" si="90"/>
        <v>668</v>
      </c>
      <c r="I133" s="90">
        <f t="shared" si="90"/>
        <v>202</v>
      </c>
      <c r="J133" s="90">
        <f t="shared" si="90"/>
        <v>405</v>
      </c>
      <c r="K133" s="90">
        <f t="shared" si="90"/>
        <v>712</v>
      </c>
      <c r="L133" s="90">
        <f t="shared" si="90"/>
        <v>917</v>
      </c>
      <c r="M133" s="90">
        <f t="shared" si="90"/>
        <v>177</v>
      </c>
      <c r="N133" s="90">
        <f t="shared" si="90"/>
        <v>398</v>
      </c>
      <c r="O133" s="90">
        <f t="shared" si="90"/>
        <v>643</v>
      </c>
      <c r="P133" s="90">
        <f t="shared" si="90"/>
        <v>790</v>
      </c>
      <c r="Q133" s="90">
        <f t="shared" si="90"/>
        <v>140</v>
      </c>
      <c r="R133" s="90">
        <f t="shared" si="90"/>
        <v>402</v>
      </c>
      <c r="S133" s="90">
        <f t="shared" si="90"/>
        <v>643</v>
      </c>
      <c r="T133" s="90">
        <f t="shared" si="90"/>
        <v>821</v>
      </c>
      <c r="U133" s="90">
        <f t="shared" si="90"/>
        <v>199</v>
      </c>
      <c r="V133" s="90">
        <f t="shared" si="90"/>
        <v>427</v>
      </c>
      <c r="W133" s="90">
        <f t="shared" si="90"/>
        <v>678</v>
      </c>
      <c r="X133" s="90">
        <f t="shared" si="90"/>
        <v>814</v>
      </c>
      <c r="Y133" s="90">
        <f t="shared" si="90"/>
        <v>239</v>
      </c>
      <c r="Z133" s="90">
        <f t="shared" si="90"/>
        <v>488</v>
      </c>
      <c r="AA133" s="90">
        <f t="shared" si="90"/>
        <v>727</v>
      </c>
      <c r="AB133" s="90">
        <f t="shared" si="90"/>
        <v>932</v>
      </c>
      <c r="AC133" s="90">
        <f t="shared" si="90"/>
        <v>194</v>
      </c>
      <c r="AD133" s="90">
        <f t="shared" si="90"/>
        <v>395</v>
      </c>
      <c r="AE133" s="90">
        <f t="shared" si="90"/>
        <v>613</v>
      </c>
      <c r="AF133" s="90">
        <f t="shared" si="90"/>
        <v>794</v>
      </c>
      <c r="AG133" s="90">
        <f t="shared" si="90"/>
        <v>216</v>
      </c>
      <c r="AH133" s="90">
        <f t="shared" si="90"/>
        <v>417</v>
      </c>
      <c r="AI133" s="90">
        <f t="shared" si="90"/>
        <v>647</v>
      </c>
      <c r="AJ133" s="90">
        <f t="shared" si="90"/>
        <v>873</v>
      </c>
      <c r="AK133" s="90">
        <f t="shared" si="90"/>
        <v>265</v>
      </c>
      <c r="AL133" s="90">
        <f t="shared" si="90"/>
        <v>509</v>
      </c>
      <c r="AM133" s="90">
        <f t="shared" si="90"/>
        <v>755</v>
      </c>
      <c r="AN133" s="90">
        <f t="shared" si="90"/>
        <v>987</v>
      </c>
      <c r="AO133" s="90">
        <f t="shared" si="90"/>
        <v>243</v>
      </c>
      <c r="AP133" s="90">
        <f t="shared" si="90"/>
        <v>514</v>
      </c>
      <c r="AQ133" s="90">
        <f t="shared" si="90"/>
        <v>797</v>
      </c>
      <c r="AR133" s="90">
        <f t="shared" si="90"/>
        <v>973</v>
      </c>
      <c r="AS133" s="90">
        <f t="shared" si="90"/>
        <v>267</v>
      </c>
      <c r="AT133" s="90">
        <f t="shared" si="90"/>
        <v>566</v>
      </c>
      <c r="AU133" s="90">
        <f t="shared" si="90"/>
        <v>856</v>
      </c>
      <c r="AV133" s="90">
        <f t="shared" si="90"/>
        <v>1061</v>
      </c>
      <c r="AW133" s="90">
        <f t="shared" si="90"/>
        <v>283</v>
      </c>
      <c r="AX133" s="90">
        <f>SUM(AX131:AX132)</f>
        <v>550</v>
      </c>
      <c r="AY133" s="90">
        <v>816</v>
      </c>
      <c r="AZ133" s="90">
        <v>1124</v>
      </c>
      <c r="BA133" s="109">
        <v>268</v>
      </c>
    </row>
    <row r="134" spans="1:53" ht="14.1" customHeight="1" outlineLevel="1" x14ac:dyDescent="0.25">
      <c r="A134" s="66"/>
      <c r="B134" s="60" t="s">
        <v>191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>
        <v>7</v>
      </c>
      <c r="AP134" s="13">
        <v>10</v>
      </c>
      <c r="AQ134" s="13">
        <v>12</v>
      </c>
      <c r="AR134" s="3">
        <v>14</v>
      </c>
      <c r="AS134" s="3">
        <v>2</v>
      </c>
      <c r="AT134" s="3">
        <v>5</v>
      </c>
      <c r="AU134" s="3">
        <v>10</v>
      </c>
      <c r="AV134" s="62">
        <v>18</v>
      </c>
      <c r="AW134" s="62">
        <v>13</v>
      </c>
      <c r="AX134" s="62">
        <v>14</v>
      </c>
      <c r="AY134" s="109"/>
      <c r="AZ134" s="109"/>
      <c r="BA134" s="62"/>
    </row>
    <row r="135" spans="1:53" ht="14.1" customHeight="1" outlineLevel="1" x14ac:dyDescent="0.25">
      <c r="A135" s="66"/>
      <c r="B135" s="107" t="s">
        <v>232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09">
        <f t="shared" ref="AO135:AT135" si="91">SUM(AO134)</f>
        <v>7</v>
      </c>
      <c r="AP135" s="109">
        <f t="shared" si="91"/>
        <v>10</v>
      </c>
      <c r="AQ135" s="109">
        <f t="shared" si="91"/>
        <v>12</v>
      </c>
      <c r="AR135" s="109">
        <f t="shared" si="91"/>
        <v>14</v>
      </c>
      <c r="AS135" s="109">
        <f t="shared" si="91"/>
        <v>2</v>
      </c>
      <c r="AT135" s="109">
        <f t="shared" si="91"/>
        <v>5</v>
      </c>
      <c r="AU135" s="90">
        <v>13</v>
      </c>
      <c r="AV135" s="109">
        <f>SUM(AV134)</f>
        <v>18</v>
      </c>
      <c r="AW135" s="109">
        <f>SUM(AW134)</f>
        <v>13</v>
      </c>
      <c r="AX135" s="109">
        <f>SUM(AX134)</f>
        <v>14</v>
      </c>
      <c r="AY135" s="109">
        <v>34</v>
      </c>
      <c r="AZ135" s="109">
        <v>46</v>
      </c>
      <c r="BA135" s="109">
        <v>24</v>
      </c>
    </row>
    <row r="136" spans="1:53" ht="14.1" customHeight="1" outlineLevel="1" x14ac:dyDescent="0.25">
      <c r="A136" s="66"/>
      <c r="B136" s="6" t="s">
        <v>57</v>
      </c>
      <c r="C136" s="26">
        <v>0.73</v>
      </c>
      <c r="D136" s="26">
        <v>0.66</v>
      </c>
      <c r="E136" s="26">
        <v>0.55000000000000004</v>
      </c>
      <c r="F136" s="26">
        <v>0.42</v>
      </c>
      <c r="G136" s="26">
        <v>0.61</v>
      </c>
      <c r="H136" s="26">
        <v>0.67</v>
      </c>
      <c r="I136" s="26">
        <v>0.88</v>
      </c>
      <c r="J136" s="26">
        <v>0.82</v>
      </c>
      <c r="K136" s="26">
        <v>0.87</v>
      </c>
      <c r="L136" s="26">
        <v>0.88</v>
      </c>
      <c r="M136" s="26">
        <v>0.82</v>
      </c>
      <c r="N136" s="26">
        <v>0.81</v>
      </c>
      <c r="O136" s="26">
        <v>0.81</v>
      </c>
      <c r="P136" s="26">
        <v>0.81</v>
      </c>
      <c r="Q136" s="26">
        <v>0.69</v>
      </c>
      <c r="R136" s="26">
        <v>0.81</v>
      </c>
      <c r="S136" s="26">
        <v>0.81</v>
      </c>
      <c r="T136" s="26">
        <v>0.83</v>
      </c>
      <c r="U136" s="26">
        <v>0.8</v>
      </c>
      <c r="V136" s="26">
        <v>0.83</v>
      </c>
      <c r="W136" s="26">
        <v>0.84</v>
      </c>
      <c r="X136" s="26">
        <v>0.83</v>
      </c>
      <c r="Y136" s="26">
        <v>0.89</v>
      </c>
      <c r="Z136" s="26">
        <v>0.88</v>
      </c>
      <c r="AA136" s="26">
        <v>0.84</v>
      </c>
      <c r="AB136" s="26">
        <v>0.86</v>
      </c>
      <c r="AC136" s="26">
        <v>0.78</v>
      </c>
      <c r="AD136" s="26">
        <v>0.79</v>
      </c>
      <c r="AE136" s="26">
        <v>0.77</v>
      </c>
      <c r="AF136" s="26">
        <v>0.78</v>
      </c>
      <c r="AG136" s="26">
        <v>0.83</v>
      </c>
      <c r="AH136" s="26">
        <v>0.79</v>
      </c>
      <c r="AI136" s="26">
        <v>0.72</v>
      </c>
      <c r="AJ136" s="26">
        <v>0.69</v>
      </c>
      <c r="AK136" s="26">
        <v>0.88</v>
      </c>
      <c r="AL136" s="26">
        <v>0.79</v>
      </c>
      <c r="AM136" s="26">
        <v>0.8</v>
      </c>
      <c r="AN136" s="26">
        <v>0.83</v>
      </c>
      <c r="AO136" s="26">
        <v>0.88</v>
      </c>
      <c r="AP136" s="26">
        <v>0.89</v>
      </c>
      <c r="AQ136" s="26">
        <v>0.89</v>
      </c>
      <c r="AR136" s="26">
        <v>0.86</v>
      </c>
      <c r="AS136" s="26">
        <v>0.88</v>
      </c>
      <c r="AT136" s="26">
        <v>0.92</v>
      </c>
      <c r="AU136" s="26">
        <v>0.91</v>
      </c>
      <c r="AV136" s="26">
        <v>0.89</v>
      </c>
      <c r="AW136" s="26">
        <v>0.98</v>
      </c>
      <c r="AX136" s="26">
        <v>0.92</v>
      </c>
      <c r="AY136" s="26">
        <v>0.86</v>
      </c>
      <c r="AZ136" s="68">
        <v>0.93</v>
      </c>
      <c r="BA136" s="26">
        <v>0.94</v>
      </c>
    </row>
    <row r="137" spans="1:53" ht="14.1" customHeight="1" outlineLevel="1" x14ac:dyDescent="0.25">
      <c r="A137" s="66"/>
      <c r="B137" s="23" t="s">
        <v>60</v>
      </c>
      <c r="C137" s="24">
        <f t="shared" ref="C137:AX137" si="92">C142+C145+C146</f>
        <v>239</v>
      </c>
      <c r="D137" s="24">
        <f t="shared" si="92"/>
        <v>298</v>
      </c>
      <c r="E137" s="24">
        <f t="shared" si="92"/>
        <v>126</v>
      </c>
      <c r="F137" s="24">
        <f t="shared" si="92"/>
        <v>260</v>
      </c>
      <c r="G137" s="24">
        <f t="shared" si="92"/>
        <v>340</v>
      </c>
      <c r="H137" s="24">
        <f t="shared" si="92"/>
        <v>563</v>
      </c>
      <c r="I137" s="24">
        <f t="shared" si="92"/>
        <v>70</v>
      </c>
      <c r="J137" s="24">
        <f t="shared" si="92"/>
        <v>118</v>
      </c>
      <c r="K137" s="24">
        <f t="shared" si="92"/>
        <v>159</v>
      </c>
      <c r="L137" s="24">
        <f t="shared" si="92"/>
        <v>237</v>
      </c>
      <c r="M137" s="24">
        <f t="shared" si="92"/>
        <v>58</v>
      </c>
      <c r="N137" s="24">
        <f t="shared" si="92"/>
        <v>124</v>
      </c>
      <c r="O137" s="24">
        <f t="shared" si="92"/>
        <v>151</v>
      </c>
      <c r="P137" s="24">
        <f t="shared" si="92"/>
        <v>219</v>
      </c>
      <c r="Q137" s="24">
        <f t="shared" si="92"/>
        <v>67</v>
      </c>
      <c r="R137" s="24">
        <f t="shared" si="92"/>
        <v>123</v>
      </c>
      <c r="S137" s="24">
        <f t="shared" si="92"/>
        <v>132</v>
      </c>
      <c r="T137" s="24">
        <f t="shared" si="92"/>
        <v>173</v>
      </c>
      <c r="U137" s="24">
        <f t="shared" si="92"/>
        <v>33</v>
      </c>
      <c r="V137" s="24">
        <f t="shared" si="92"/>
        <v>109</v>
      </c>
      <c r="W137" s="24">
        <f t="shared" si="92"/>
        <v>129</v>
      </c>
      <c r="X137" s="24">
        <f t="shared" si="92"/>
        <v>188</v>
      </c>
      <c r="Y137" s="24">
        <f t="shared" si="92"/>
        <v>64</v>
      </c>
      <c r="Z137" s="24">
        <f t="shared" si="92"/>
        <v>147</v>
      </c>
      <c r="AA137" s="24">
        <f t="shared" si="92"/>
        <v>162</v>
      </c>
      <c r="AB137" s="24">
        <f t="shared" si="92"/>
        <v>360</v>
      </c>
      <c r="AC137" s="24">
        <f t="shared" si="92"/>
        <v>75</v>
      </c>
      <c r="AD137" s="24">
        <f t="shared" si="92"/>
        <v>140</v>
      </c>
      <c r="AE137" s="24">
        <f t="shared" si="92"/>
        <v>176</v>
      </c>
      <c r="AF137" s="24">
        <f t="shared" si="92"/>
        <v>232</v>
      </c>
      <c r="AG137" s="24">
        <f t="shared" si="92"/>
        <v>101</v>
      </c>
      <c r="AH137" s="24">
        <f t="shared" si="92"/>
        <v>165</v>
      </c>
      <c r="AI137" s="24">
        <f t="shared" si="92"/>
        <v>265</v>
      </c>
      <c r="AJ137" s="24">
        <f t="shared" si="92"/>
        <v>385</v>
      </c>
      <c r="AK137" s="24">
        <f t="shared" si="92"/>
        <v>201</v>
      </c>
      <c r="AL137" s="24">
        <f t="shared" si="92"/>
        <v>357</v>
      </c>
      <c r="AM137" s="24">
        <f t="shared" si="92"/>
        <v>454</v>
      </c>
      <c r="AN137" s="24">
        <f t="shared" si="92"/>
        <v>557</v>
      </c>
      <c r="AO137" s="24">
        <f t="shared" si="92"/>
        <v>218</v>
      </c>
      <c r="AP137" s="24">
        <f t="shared" si="92"/>
        <v>316</v>
      </c>
      <c r="AQ137" s="24">
        <f t="shared" si="92"/>
        <v>376</v>
      </c>
      <c r="AR137" s="24">
        <f t="shared" si="92"/>
        <v>438</v>
      </c>
      <c r="AS137" s="24">
        <f t="shared" si="92"/>
        <v>156</v>
      </c>
      <c r="AT137" s="24">
        <f t="shared" si="92"/>
        <v>325</v>
      </c>
      <c r="AU137" s="24">
        <f t="shared" si="92"/>
        <v>532</v>
      </c>
      <c r="AV137" s="24">
        <f t="shared" si="92"/>
        <v>563</v>
      </c>
      <c r="AW137" s="24">
        <f t="shared" si="92"/>
        <v>177</v>
      </c>
      <c r="AX137" s="24">
        <f t="shared" si="92"/>
        <v>331</v>
      </c>
      <c r="AY137" s="24">
        <f>AY142+AY145+AY146</f>
        <v>450</v>
      </c>
      <c r="AZ137" s="24">
        <f>AZ142+AZ145+AZ146</f>
        <v>577</v>
      </c>
      <c r="BA137" s="24">
        <f>BA142+BA145+BA146</f>
        <v>152</v>
      </c>
    </row>
    <row r="138" spans="1:53" ht="14.1" customHeight="1" outlineLevel="1" x14ac:dyDescent="0.25">
      <c r="A138" s="66"/>
      <c r="B138" s="99" t="s">
        <v>53</v>
      </c>
      <c r="C138" s="28">
        <v>47</v>
      </c>
      <c r="D138" s="28">
        <v>63</v>
      </c>
      <c r="E138" s="13">
        <v>11</v>
      </c>
      <c r="F138" s="13">
        <v>26</v>
      </c>
      <c r="G138" s="13">
        <v>31</v>
      </c>
      <c r="H138" s="13">
        <v>69</v>
      </c>
      <c r="I138" s="13">
        <v>32</v>
      </c>
      <c r="J138" s="13">
        <v>40</v>
      </c>
      <c r="K138" s="13">
        <v>51</v>
      </c>
      <c r="L138" s="13">
        <v>71</v>
      </c>
      <c r="M138" s="13">
        <v>27</v>
      </c>
      <c r="N138" s="13">
        <v>51</v>
      </c>
      <c r="O138" s="13">
        <v>64</v>
      </c>
      <c r="P138" s="13">
        <v>80</v>
      </c>
      <c r="Q138" s="13">
        <v>28</v>
      </c>
      <c r="R138" s="13">
        <v>58</v>
      </c>
      <c r="S138" s="13">
        <v>58</v>
      </c>
      <c r="T138" s="13">
        <v>62</v>
      </c>
      <c r="U138" s="13">
        <v>23</v>
      </c>
      <c r="V138" s="13">
        <v>45</v>
      </c>
      <c r="W138" s="13">
        <v>49</v>
      </c>
      <c r="X138" s="13">
        <v>64</v>
      </c>
      <c r="Y138" s="13">
        <v>16</v>
      </c>
      <c r="Z138" s="13">
        <v>44</v>
      </c>
      <c r="AA138" s="13">
        <v>51</v>
      </c>
      <c r="AB138" s="13">
        <v>76</v>
      </c>
      <c r="AC138" s="13">
        <v>16</v>
      </c>
      <c r="AD138" s="13">
        <v>33</v>
      </c>
      <c r="AE138" s="13">
        <v>47</v>
      </c>
      <c r="AF138" s="13">
        <v>47</v>
      </c>
      <c r="AG138" s="13">
        <v>42</v>
      </c>
      <c r="AH138" s="13">
        <v>42</v>
      </c>
      <c r="AI138" s="13">
        <v>42</v>
      </c>
      <c r="AJ138" s="13">
        <v>85</v>
      </c>
      <c r="AK138" s="13">
        <v>78</v>
      </c>
      <c r="AL138" s="13">
        <v>149</v>
      </c>
      <c r="AM138" s="13">
        <v>202</v>
      </c>
      <c r="AN138" s="13">
        <v>256</v>
      </c>
      <c r="AO138" s="13">
        <v>97</v>
      </c>
      <c r="AP138" s="13">
        <v>117</v>
      </c>
      <c r="AQ138" s="13">
        <v>137</v>
      </c>
      <c r="AR138" s="13">
        <v>163</v>
      </c>
      <c r="AS138" s="62">
        <v>65</v>
      </c>
      <c r="AT138" s="62">
        <v>119</v>
      </c>
      <c r="AU138" s="62">
        <v>136</v>
      </c>
      <c r="AV138" s="62">
        <v>144</v>
      </c>
      <c r="AW138" s="62">
        <v>84</v>
      </c>
      <c r="AX138" s="62">
        <v>133</v>
      </c>
    </row>
    <row r="139" spans="1:53" ht="14.1" customHeight="1" outlineLevel="1" x14ac:dyDescent="0.25">
      <c r="A139" s="66"/>
      <c r="B139" s="99" t="s">
        <v>54</v>
      </c>
      <c r="C139" s="28">
        <v>102</v>
      </c>
      <c r="D139" s="28">
        <v>120</v>
      </c>
      <c r="E139" s="13">
        <v>61</v>
      </c>
      <c r="F139" s="13">
        <v>99</v>
      </c>
      <c r="G139" s="13">
        <v>125</v>
      </c>
      <c r="H139" s="13">
        <v>217</v>
      </c>
      <c r="I139" s="13">
        <v>36</v>
      </c>
      <c r="J139" s="13">
        <v>76</v>
      </c>
      <c r="K139" s="13">
        <v>97</v>
      </c>
      <c r="L139" s="13">
        <v>134</v>
      </c>
      <c r="M139" s="13">
        <v>20</v>
      </c>
      <c r="N139" s="13">
        <v>62</v>
      </c>
      <c r="O139" s="13">
        <v>71</v>
      </c>
      <c r="P139" s="13">
        <v>94</v>
      </c>
      <c r="Q139" s="13">
        <v>18</v>
      </c>
      <c r="R139" s="13">
        <v>43</v>
      </c>
      <c r="S139" s="13">
        <v>52</v>
      </c>
      <c r="T139" s="13">
        <v>87</v>
      </c>
      <c r="U139" s="13">
        <v>10</v>
      </c>
      <c r="V139" s="13">
        <v>53</v>
      </c>
      <c r="W139" s="13">
        <v>67</v>
      </c>
      <c r="X139" s="13">
        <v>94</v>
      </c>
      <c r="Y139" s="13">
        <v>28</v>
      </c>
      <c r="Z139" s="13">
        <v>83</v>
      </c>
      <c r="AA139" s="13">
        <v>91</v>
      </c>
      <c r="AB139" s="13">
        <v>144</v>
      </c>
      <c r="AC139" s="13">
        <v>53</v>
      </c>
      <c r="AD139" s="13">
        <v>101</v>
      </c>
      <c r="AE139" s="13">
        <v>123</v>
      </c>
      <c r="AF139" s="13">
        <v>179</v>
      </c>
      <c r="AG139" s="13">
        <v>59</v>
      </c>
      <c r="AH139" s="13">
        <v>123</v>
      </c>
      <c r="AI139" s="13">
        <v>177</v>
      </c>
      <c r="AJ139" s="13">
        <v>238</v>
      </c>
      <c r="AK139" s="13">
        <v>123</v>
      </c>
      <c r="AL139" s="13">
        <v>208</v>
      </c>
      <c r="AM139" s="13">
        <v>252</v>
      </c>
      <c r="AN139" s="13">
        <v>279</v>
      </c>
      <c r="AO139" s="13">
        <v>121</v>
      </c>
      <c r="AP139" s="13">
        <v>199</v>
      </c>
      <c r="AQ139" s="13">
        <v>239</v>
      </c>
      <c r="AR139" s="13">
        <v>275</v>
      </c>
      <c r="AS139" s="62">
        <v>90</v>
      </c>
      <c r="AT139" s="62">
        <v>205</v>
      </c>
      <c r="AU139" s="62">
        <v>358</v>
      </c>
      <c r="AV139" s="62">
        <v>380</v>
      </c>
      <c r="AW139" s="62">
        <v>93</v>
      </c>
      <c r="AX139" s="62">
        <v>198</v>
      </c>
    </row>
    <row r="140" spans="1:53" ht="14.1" customHeight="1" outlineLevel="1" x14ac:dyDescent="0.25">
      <c r="A140" s="66"/>
      <c r="B140" s="99" t="s">
        <v>50</v>
      </c>
      <c r="C140" s="28">
        <v>8</v>
      </c>
      <c r="D140" s="28">
        <v>8</v>
      </c>
      <c r="E140" s="13">
        <v>0</v>
      </c>
      <c r="F140" s="13">
        <v>24</v>
      </c>
      <c r="G140" s="13">
        <v>32</v>
      </c>
      <c r="H140" s="13">
        <v>32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3">
        <v>0</v>
      </c>
      <c r="AW140" s="3">
        <v>0</v>
      </c>
      <c r="AX140" s="3">
        <v>0</v>
      </c>
    </row>
    <row r="141" spans="1:53" ht="14.1" customHeight="1" outlineLevel="1" x14ac:dyDescent="0.25">
      <c r="A141" s="66"/>
      <c r="B141" s="99" t="s">
        <v>52</v>
      </c>
      <c r="C141" s="28">
        <v>70</v>
      </c>
      <c r="D141" s="28">
        <v>95</v>
      </c>
      <c r="E141" s="13">
        <v>35</v>
      </c>
      <c r="F141" s="13">
        <v>78</v>
      </c>
      <c r="G141" s="13">
        <v>100</v>
      </c>
      <c r="H141" s="13">
        <v>188</v>
      </c>
      <c r="I141" s="13">
        <v>0</v>
      </c>
      <c r="J141" s="13">
        <v>0</v>
      </c>
      <c r="K141" s="13">
        <v>9</v>
      </c>
      <c r="L141" s="13">
        <v>30</v>
      </c>
      <c r="M141" s="13">
        <v>10</v>
      </c>
      <c r="N141" s="13">
        <v>10</v>
      </c>
      <c r="O141" s="13">
        <v>10</v>
      </c>
      <c r="P141" s="13">
        <v>37</v>
      </c>
      <c r="Q141" s="13">
        <v>19</v>
      </c>
      <c r="R141" s="13">
        <v>19</v>
      </c>
      <c r="S141" s="13">
        <v>19</v>
      </c>
      <c r="T141" s="13">
        <v>19</v>
      </c>
      <c r="U141" s="13">
        <v>0</v>
      </c>
      <c r="V141" s="13">
        <v>10</v>
      </c>
      <c r="W141" s="13">
        <v>10</v>
      </c>
      <c r="X141" s="13">
        <v>27</v>
      </c>
      <c r="Y141" s="13">
        <v>20</v>
      </c>
      <c r="Z141" s="13">
        <v>20</v>
      </c>
      <c r="AA141" s="13">
        <v>20</v>
      </c>
      <c r="AB141" s="13">
        <v>95</v>
      </c>
      <c r="AC141" s="13">
        <v>6</v>
      </c>
      <c r="AD141" s="13">
        <v>6</v>
      </c>
      <c r="AE141" s="13">
        <v>6</v>
      </c>
      <c r="AF141" s="13">
        <v>6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3">
        <v>0</v>
      </c>
      <c r="AW141" s="3">
        <v>0</v>
      </c>
      <c r="AX141" s="3">
        <v>0</v>
      </c>
    </row>
    <row r="142" spans="1:53" ht="14.1" customHeight="1" outlineLevel="1" x14ac:dyDescent="0.25">
      <c r="A142" s="66"/>
      <c r="B142" s="106" t="s">
        <v>230</v>
      </c>
      <c r="C142" s="90">
        <f t="shared" ref="C142:AT142" si="93">SUM(C138:C141)</f>
        <v>227</v>
      </c>
      <c r="D142" s="90">
        <f t="shared" si="93"/>
        <v>286</v>
      </c>
      <c r="E142" s="90">
        <f t="shared" si="93"/>
        <v>107</v>
      </c>
      <c r="F142" s="90">
        <f t="shared" si="93"/>
        <v>227</v>
      </c>
      <c r="G142" s="90">
        <f t="shared" si="93"/>
        <v>288</v>
      </c>
      <c r="H142" s="90">
        <f t="shared" si="93"/>
        <v>506</v>
      </c>
      <c r="I142" s="90">
        <f t="shared" si="93"/>
        <v>68</v>
      </c>
      <c r="J142" s="90">
        <f t="shared" si="93"/>
        <v>116</v>
      </c>
      <c r="K142" s="90">
        <f t="shared" si="93"/>
        <v>157</v>
      </c>
      <c r="L142" s="90">
        <f t="shared" si="93"/>
        <v>235</v>
      </c>
      <c r="M142" s="90">
        <f t="shared" si="93"/>
        <v>57</v>
      </c>
      <c r="N142" s="90">
        <f t="shared" si="93"/>
        <v>123</v>
      </c>
      <c r="O142" s="90">
        <f t="shared" si="93"/>
        <v>145</v>
      </c>
      <c r="P142" s="90">
        <f t="shared" si="93"/>
        <v>211</v>
      </c>
      <c r="Q142" s="90">
        <f t="shared" si="93"/>
        <v>65</v>
      </c>
      <c r="R142" s="90">
        <f t="shared" si="93"/>
        <v>120</v>
      </c>
      <c r="S142" s="90">
        <f t="shared" si="93"/>
        <v>129</v>
      </c>
      <c r="T142" s="90">
        <f t="shared" si="93"/>
        <v>168</v>
      </c>
      <c r="U142" s="90">
        <f t="shared" si="93"/>
        <v>33</v>
      </c>
      <c r="V142" s="90">
        <f t="shared" si="93"/>
        <v>108</v>
      </c>
      <c r="W142" s="90">
        <f t="shared" si="93"/>
        <v>126</v>
      </c>
      <c r="X142" s="90">
        <f t="shared" si="93"/>
        <v>185</v>
      </c>
      <c r="Y142" s="90">
        <f t="shared" si="93"/>
        <v>64</v>
      </c>
      <c r="Z142" s="90">
        <f t="shared" si="93"/>
        <v>147</v>
      </c>
      <c r="AA142" s="90">
        <f t="shared" si="93"/>
        <v>162</v>
      </c>
      <c r="AB142" s="90">
        <f t="shared" si="93"/>
        <v>315</v>
      </c>
      <c r="AC142" s="90">
        <f t="shared" si="93"/>
        <v>75</v>
      </c>
      <c r="AD142" s="90">
        <f t="shared" si="93"/>
        <v>140</v>
      </c>
      <c r="AE142" s="90">
        <f t="shared" si="93"/>
        <v>176</v>
      </c>
      <c r="AF142" s="90">
        <f t="shared" si="93"/>
        <v>232</v>
      </c>
      <c r="AG142" s="90">
        <f t="shared" si="93"/>
        <v>101</v>
      </c>
      <c r="AH142" s="90">
        <f t="shared" si="93"/>
        <v>165</v>
      </c>
      <c r="AI142" s="90">
        <f t="shared" si="93"/>
        <v>219</v>
      </c>
      <c r="AJ142" s="90">
        <f t="shared" si="93"/>
        <v>323</v>
      </c>
      <c r="AK142" s="90">
        <f t="shared" si="93"/>
        <v>201</v>
      </c>
      <c r="AL142" s="90">
        <f t="shared" si="93"/>
        <v>357</v>
      </c>
      <c r="AM142" s="90">
        <f t="shared" si="93"/>
        <v>454</v>
      </c>
      <c r="AN142" s="90">
        <f t="shared" si="93"/>
        <v>535</v>
      </c>
      <c r="AO142" s="90">
        <f t="shared" si="93"/>
        <v>218</v>
      </c>
      <c r="AP142" s="90">
        <f t="shared" si="93"/>
        <v>316</v>
      </c>
      <c r="AQ142" s="90">
        <f t="shared" si="93"/>
        <v>376</v>
      </c>
      <c r="AR142" s="90">
        <f t="shared" si="93"/>
        <v>438</v>
      </c>
      <c r="AS142" s="90">
        <f t="shared" si="93"/>
        <v>155</v>
      </c>
      <c r="AT142" s="90">
        <f t="shared" si="93"/>
        <v>324</v>
      </c>
      <c r="AU142" s="81">
        <v>494</v>
      </c>
      <c r="AV142" s="90">
        <f>SUM(AV138:AV141)</f>
        <v>524</v>
      </c>
      <c r="AW142" s="90">
        <f>SUM(AW138:AW141)</f>
        <v>177</v>
      </c>
      <c r="AX142" s="90">
        <f>SUM(AX138:AX141)</f>
        <v>331</v>
      </c>
      <c r="AY142" s="109">
        <v>450</v>
      </c>
      <c r="AZ142" s="109">
        <v>576</v>
      </c>
      <c r="BA142" s="109">
        <v>152</v>
      </c>
    </row>
    <row r="143" spans="1:53" ht="14.1" customHeight="1" outlineLevel="1" x14ac:dyDescent="0.25">
      <c r="A143" s="66"/>
      <c r="B143" s="99" t="s">
        <v>56</v>
      </c>
      <c r="C143" s="13">
        <v>0</v>
      </c>
      <c r="D143" s="13">
        <v>0</v>
      </c>
      <c r="E143" s="13">
        <v>19</v>
      </c>
      <c r="F143" s="13">
        <v>33</v>
      </c>
      <c r="G143" s="13">
        <v>33</v>
      </c>
      <c r="H143" s="13">
        <v>33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1</v>
      </c>
      <c r="AT143" s="13">
        <v>1</v>
      </c>
      <c r="AU143" s="13">
        <v>1</v>
      </c>
      <c r="AV143" s="3">
        <v>0</v>
      </c>
      <c r="AW143" s="3">
        <v>0</v>
      </c>
      <c r="AX143" s="3">
        <v>0</v>
      </c>
    </row>
    <row r="144" spans="1:53" ht="14.1" customHeight="1" outlineLevel="1" x14ac:dyDescent="0.25">
      <c r="A144" s="66"/>
      <c r="B144" s="99" t="s">
        <v>55</v>
      </c>
      <c r="C144" s="28">
        <v>0</v>
      </c>
      <c r="D144" s="28">
        <v>0</v>
      </c>
      <c r="E144" s="13">
        <v>0</v>
      </c>
      <c r="F144" s="13">
        <v>0</v>
      </c>
      <c r="G144" s="13">
        <v>16</v>
      </c>
      <c r="H144" s="13">
        <v>16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44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46</v>
      </c>
      <c r="AJ144" s="13">
        <v>62</v>
      </c>
      <c r="AK144" s="13">
        <v>0</v>
      </c>
      <c r="AL144" s="13">
        <v>0</v>
      </c>
      <c r="AM144" s="13">
        <v>0</v>
      </c>
      <c r="AN144" s="13">
        <v>22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62">
        <v>37</v>
      </c>
      <c r="AV144" s="62">
        <v>37</v>
      </c>
      <c r="AW144" s="62">
        <v>0</v>
      </c>
      <c r="AX144" s="62">
        <v>0</v>
      </c>
    </row>
    <row r="145" spans="1:53" ht="14.1" customHeight="1" outlineLevel="1" x14ac:dyDescent="0.25">
      <c r="A145" s="66"/>
      <c r="B145" s="106" t="s">
        <v>231</v>
      </c>
      <c r="C145" s="90">
        <f t="shared" ref="C145:AU145" si="94">SUM(C143:C144)</f>
        <v>0</v>
      </c>
      <c r="D145" s="90">
        <f t="shared" si="94"/>
        <v>0</v>
      </c>
      <c r="E145" s="90">
        <f t="shared" si="94"/>
        <v>19</v>
      </c>
      <c r="F145" s="90">
        <f t="shared" si="94"/>
        <v>33</v>
      </c>
      <c r="G145" s="90">
        <f t="shared" si="94"/>
        <v>49</v>
      </c>
      <c r="H145" s="90">
        <f t="shared" si="94"/>
        <v>49</v>
      </c>
      <c r="I145" s="90">
        <f t="shared" si="94"/>
        <v>0</v>
      </c>
      <c r="J145" s="90">
        <f t="shared" si="94"/>
        <v>0</v>
      </c>
      <c r="K145" s="90">
        <f t="shared" si="94"/>
        <v>0</v>
      </c>
      <c r="L145" s="90">
        <f t="shared" si="94"/>
        <v>0</v>
      </c>
      <c r="M145" s="90">
        <f t="shared" si="94"/>
        <v>0</v>
      </c>
      <c r="N145" s="90">
        <f t="shared" si="94"/>
        <v>0</v>
      </c>
      <c r="O145" s="90">
        <f t="shared" si="94"/>
        <v>0</v>
      </c>
      <c r="P145" s="90">
        <f t="shared" si="94"/>
        <v>0</v>
      </c>
      <c r="Q145" s="90">
        <f t="shared" si="94"/>
        <v>0</v>
      </c>
      <c r="R145" s="90">
        <f t="shared" si="94"/>
        <v>0</v>
      </c>
      <c r="S145" s="90">
        <f t="shared" si="94"/>
        <v>0</v>
      </c>
      <c r="T145" s="90">
        <f t="shared" si="94"/>
        <v>0</v>
      </c>
      <c r="U145" s="90">
        <f t="shared" si="94"/>
        <v>0</v>
      </c>
      <c r="V145" s="90">
        <f t="shared" si="94"/>
        <v>0</v>
      </c>
      <c r="W145" s="90">
        <f t="shared" si="94"/>
        <v>0</v>
      </c>
      <c r="X145" s="90">
        <f t="shared" si="94"/>
        <v>0</v>
      </c>
      <c r="Y145" s="90">
        <f t="shared" si="94"/>
        <v>0</v>
      </c>
      <c r="Z145" s="90">
        <f t="shared" si="94"/>
        <v>0</v>
      </c>
      <c r="AA145" s="90">
        <f t="shared" si="94"/>
        <v>0</v>
      </c>
      <c r="AB145" s="90">
        <f t="shared" si="94"/>
        <v>44</v>
      </c>
      <c r="AC145" s="90">
        <f t="shared" si="94"/>
        <v>0</v>
      </c>
      <c r="AD145" s="90">
        <f t="shared" si="94"/>
        <v>0</v>
      </c>
      <c r="AE145" s="90">
        <f t="shared" si="94"/>
        <v>0</v>
      </c>
      <c r="AF145" s="90">
        <f t="shared" si="94"/>
        <v>0</v>
      </c>
      <c r="AG145" s="90">
        <f t="shared" si="94"/>
        <v>0</v>
      </c>
      <c r="AH145" s="90">
        <f t="shared" si="94"/>
        <v>0</v>
      </c>
      <c r="AI145" s="90">
        <f t="shared" si="94"/>
        <v>46</v>
      </c>
      <c r="AJ145" s="90">
        <f t="shared" si="94"/>
        <v>62</v>
      </c>
      <c r="AK145" s="90">
        <f t="shared" si="94"/>
        <v>0</v>
      </c>
      <c r="AL145" s="90">
        <f t="shared" si="94"/>
        <v>0</v>
      </c>
      <c r="AM145" s="90">
        <f t="shared" si="94"/>
        <v>0</v>
      </c>
      <c r="AN145" s="90">
        <f t="shared" si="94"/>
        <v>22</v>
      </c>
      <c r="AO145" s="90">
        <f t="shared" si="94"/>
        <v>0</v>
      </c>
      <c r="AP145" s="90">
        <f t="shared" si="94"/>
        <v>0</v>
      </c>
      <c r="AQ145" s="90">
        <f t="shared" si="94"/>
        <v>0</v>
      </c>
      <c r="AR145" s="90">
        <f t="shared" si="94"/>
        <v>0</v>
      </c>
      <c r="AS145" s="90">
        <f t="shared" si="94"/>
        <v>1</v>
      </c>
      <c r="AT145" s="90">
        <f t="shared" si="94"/>
        <v>1</v>
      </c>
      <c r="AU145" s="90">
        <f t="shared" si="94"/>
        <v>38</v>
      </c>
      <c r="AV145" s="109">
        <v>39</v>
      </c>
      <c r="AW145" s="90">
        <f>SUM(AW143:AW144)</f>
        <v>0</v>
      </c>
      <c r="AX145" s="90">
        <f>SUM(AX143:AX144)</f>
        <v>0</v>
      </c>
      <c r="AY145" s="109">
        <v>0</v>
      </c>
      <c r="AZ145" s="109">
        <v>1</v>
      </c>
      <c r="BA145" s="109">
        <v>0</v>
      </c>
    </row>
    <row r="146" spans="1:53" ht="14.1" customHeight="1" outlineLevel="1" x14ac:dyDescent="0.25">
      <c r="A146" s="66"/>
      <c r="B146" s="107" t="s">
        <v>232</v>
      </c>
      <c r="C146" s="30">
        <v>12</v>
      </c>
      <c r="D146" s="30">
        <v>12</v>
      </c>
      <c r="E146" s="20">
        <v>0</v>
      </c>
      <c r="F146" s="20">
        <v>0</v>
      </c>
      <c r="G146" s="20">
        <v>3</v>
      </c>
      <c r="H146" s="20">
        <v>8</v>
      </c>
      <c r="I146" s="20">
        <v>2</v>
      </c>
      <c r="J146" s="20">
        <v>2</v>
      </c>
      <c r="K146" s="20">
        <v>2</v>
      </c>
      <c r="L146" s="20">
        <v>2</v>
      </c>
      <c r="M146" s="20">
        <v>1</v>
      </c>
      <c r="N146" s="20">
        <v>1</v>
      </c>
      <c r="O146" s="20">
        <v>6</v>
      </c>
      <c r="P146" s="20">
        <v>8</v>
      </c>
      <c r="Q146" s="20">
        <v>2</v>
      </c>
      <c r="R146" s="20">
        <v>3</v>
      </c>
      <c r="S146" s="20">
        <v>3</v>
      </c>
      <c r="T146" s="20">
        <v>5</v>
      </c>
      <c r="U146" s="20">
        <v>0</v>
      </c>
      <c r="V146" s="20">
        <v>1</v>
      </c>
      <c r="W146" s="20">
        <v>3</v>
      </c>
      <c r="X146" s="20">
        <v>3</v>
      </c>
      <c r="Y146" s="20">
        <v>0</v>
      </c>
      <c r="Z146" s="20">
        <v>0</v>
      </c>
      <c r="AA146" s="20">
        <v>0</v>
      </c>
      <c r="AB146" s="20">
        <v>1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130">
        <v>0</v>
      </c>
      <c r="AZ146" s="130">
        <v>0</v>
      </c>
      <c r="BA146" s="130">
        <v>0</v>
      </c>
    </row>
    <row r="147" spans="1:53" outlineLevel="1" x14ac:dyDescent="0.25">
      <c r="A147" s="66"/>
      <c r="B147" s="39" t="s">
        <v>111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</row>
    <row r="148" spans="1:53" ht="14.1" customHeight="1" outlineLevel="1" x14ac:dyDescent="0.25">
      <c r="A148" s="66"/>
      <c r="B148" s="2" t="s">
        <v>61</v>
      </c>
      <c r="C148" s="4">
        <v>2711</v>
      </c>
      <c r="D148" s="4">
        <v>3512</v>
      </c>
      <c r="E148" s="4">
        <v>512</v>
      </c>
      <c r="F148" s="4">
        <v>1491</v>
      </c>
      <c r="G148" s="4">
        <v>2556</v>
      </c>
      <c r="H148" s="4">
        <v>3527</v>
      </c>
      <c r="I148" s="4">
        <v>798</v>
      </c>
      <c r="J148" s="4">
        <v>1882</v>
      </c>
      <c r="K148" s="4">
        <v>2987</v>
      </c>
      <c r="L148" s="4">
        <v>3907</v>
      </c>
      <c r="M148" s="4">
        <v>860</v>
      </c>
      <c r="N148" s="4">
        <v>1883</v>
      </c>
      <c r="O148" s="4">
        <v>2831</v>
      </c>
      <c r="P148" s="4">
        <v>3658</v>
      </c>
      <c r="Q148" s="4">
        <v>861</v>
      </c>
      <c r="R148" s="4">
        <v>2267</v>
      </c>
      <c r="S148" s="4">
        <v>3719</v>
      </c>
      <c r="T148" s="4">
        <v>5359</v>
      </c>
      <c r="U148" s="4">
        <v>1172</v>
      </c>
      <c r="V148" s="4">
        <v>2226</v>
      </c>
      <c r="W148" s="4">
        <v>3622</v>
      </c>
      <c r="X148" s="4">
        <v>4480</v>
      </c>
      <c r="Y148" s="4">
        <v>1039</v>
      </c>
      <c r="Z148" s="4">
        <v>1686</v>
      </c>
      <c r="AA148" s="4">
        <v>2927</v>
      </c>
      <c r="AB148" s="4">
        <v>4418</v>
      </c>
      <c r="AC148" s="4">
        <v>1306</v>
      </c>
      <c r="AD148" s="4">
        <v>2478</v>
      </c>
      <c r="AE148" s="4">
        <v>3899</v>
      </c>
      <c r="AF148" s="4">
        <v>5596</v>
      </c>
      <c r="AG148" s="4">
        <v>1637</v>
      </c>
      <c r="AH148" s="4">
        <v>3019</v>
      </c>
      <c r="AI148" s="4">
        <v>4458</v>
      </c>
      <c r="AJ148" s="4">
        <v>5997</v>
      </c>
      <c r="AK148" s="4">
        <v>1249</v>
      </c>
      <c r="AL148" s="4">
        <v>2824</v>
      </c>
      <c r="AM148" s="4">
        <v>5082</v>
      </c>
      <c r="AN148" s="4">
        <v>6963</v>
      </c>
      <c r="AO148" s="4">
        <v>962</v>
      </c>
      <c r="AP148" s="4">
        <v>2319</v>
      </c>
      <c r="AQ148" s="4">
        <v>3196</v>
      </c>
      <c r="AR148" s="4">
        <v>4176</v>
      </c>
      <c r="AS148" s="4">
        <v>639</v>
      </c>
      <c r="AT148" s="4">
        <v>1965</v>
      </c>
      <c r="AU148" s="4">
        <v>2778</v>
      </c>
      <c r="AV148" s="4">
        <v>4404</v>
      </c>
      <c r="AW148" s="4">
        <v>911</v>
      </c>
      <c r="AX148" s="4">
        <v>2222</v>
      </c>
      <c r="AY148" s="4">
        <v>3544</v>
      </c>
      <c r="AZ148" s="4">
        <v>4404</v>
      </c>
      <c r="BA148" s="4">
        <v>766</v>
      </c>
    </row>
    <row r="149" spans="1:53" ht="14.1" customHeight="1" outlineLevel="1" x14ac:dyDescent="0.25">
      <c r="A149" s="66"/>
      <c r="B149" s="33" t="s">
        <v>109</v>
      </c>
      <c r="C149" s="7">
        <v>1378</v>
      </c>
      <c r="D149" s="7">
        <v>1751</v>
      </c>
      <c r="E149" s="7">
        <v>456</v>
      </c>
      <c r="F149" s="7">
        <v>707</v>
      </c>
      <c r="G149" s="7">
        <v>1263</v>
      </c>
      <c r="H149" s="7">
        <v>1898</v>
      </c>
      <c r="I149" s="7">
        <v>672</v>
      </c>
      <c r="J149" s="7">
        <v>1343</v>
      </c>
      <c r="K149" s="7">
        <v>2014</v>
      </c>
      <c r="L149" s="7">
        <v>2687</v>
      </c>
      <c r="M149" s="7">
        <v>482</v>
      </c>
      <c r="N149" s="7">
        <v>944</v>
      </c>
      <c r="O149" s="7">
        <v>1264</v>
      </c>
      <c r="P149" s="7">
        <v>1480</v>
      </c>
      <c r="Q149" s="7">
        <v>152</v>
      </c>
      <c r="R149" s="7">
        <v>172</v>
      </c>
      <c r="S149" s="7">
        <v>217</v>
      </c>
      <c r="T149" s="7">
        <v>384</v>
      </c>
      <c r="U149" s="7">
        <v>192</v>
      </c>
      <c r="V149" s="7">
        <v>513</v>
      </c>
      <c r="W149" s="7">
        <v>733</v>
      </c>
      <c r="X149" s="7">
        <v>1076</v>
      </c>
      <c r="Y149" s="7">
        <v>456</v>
      </c>
      <c r="Z149" s="7">
        <v>729</v>
      </c>
      <c r="AA149" s="7">
        <v>1142</v>
      </c>
      <c r="AB149" s="7">
        <v>1493</v>
      </c>
      <c r="AC149" s="7">
        <v>380</v>
      </c>
      <c r="AD149" s="7">
        <v>695</v>
      </c>
      <c r="AE149" s="7">
        <v>1142</v>
      </c>
      <c r="AF149" s="7">
        <v>1632</v>
      </c>
      <c r="AG149" s="7">
        <v>522</v>
      </c>
      <c r="AH149" s="7">
        <v>1026</v>
      </c>
      <c r="AI149" s="7">
        <v>1460</v>
      </c>
      <c r="AJ149" s="7">
        <v>1893</v>
      </c>
      <c r="AK149" s="7">
        <v>484</v>
      </c>
      <c r="AL149" s="7">
        <v>930</v>
      </c>
      <c r="AM149" s="7">
        <v>1343</v>
      </c>
      <c r="AN149" s="7">
        <v>1808</v>
      </c>
      <c r="AO149" s="7">
        <v>425</v>
      </c>
      <c r="AP149" s="7">
        <v>584</v>
      </c>
      <c r="AQ149" s="7">
        <v>713</v>
      </c>
      <c r="AR149" s="7">
        <v>982</v>
      </c>
      <c r="AS149" s="7">
        <v>64</v>
      </c>
      <c r="AT149" s="7">
        <v>113</v>
      </c>
      <c r="AU149" s="7">
        <v>155</v>
      </c>
      <c r="AV149" s="7">
        <v>207</v>
      </c>
      <c r="AW149" s="7">
        <v>155</v>
      </c>
      <c r="AX149" s="7">
        <v>737</v>
      </c>
      <c r="AY149" s="7">
        <v>1346</v>
      </c>
      <c r="AZ149" s="7">
        <v>1945</v>
      </c>
      <c r="BA149" s="7">
        <v>609</v>
      </c>
    </row>
    <row r="150" spans="1:53" ht="14.1" customHeight="1" outlineLevel="1" x14ac:dyDescent="0.25">
      <c r="B150" s="6" t="s">
        <v>110</v>
      </c>
      <c r="C150" s="67" t="s">
        <v>182</v>
      </c>
      <c r="D150" s="67" t="s">
        <v>182</v>
      </c>
      <c r="E150" s="67" t="s">
        <v>182</v>
      </c>
      <c r="F150" s="67" t="s">
        <v>182</v>
      </c>
      <c r="G150" s="67" t="s">
        <v>182</v>
      </c>
      <c r="H150" s="34">
        <v>0.94</v>
      </c>
      <c r="I150" s="34">
        <v>1</v>
      </c>
      <c r="J150" s="34">
        <v>1</v>
      </c>
      <c r="K150" s="34">
        <v>1</v>
      </c>
      <c r="L150" s="34">
        <v>1</v>
      </c>
      <c r="M150" s="34">
        <v>0.72</v>
      </c>
      <c r="N150" s="34">
        <v>0.7</v>
      </c>
      <c r="O150" s="34">
        <v>0.63</v>
      </c>
      <c r="P150" s="34">
        <v>0.55000000000000004</v>
      </c>
      <c r="Q150" s="34">
        <v>0.23</v>
      </c>
      <c r="R150" s="34">
        <v>0.13</v>
      </c>
      <c r="S150" s="34">
        <v>0.11</v>
      </c>
      <c r="T150" s="34">
        <v>0.14000000000000001</v>
      </c>
      <c r="U150" s="34">
        <v>0.28000000000000003</v>
      </c>
      <c r="V150" s="34">
        <v>0.35</v>
      </c>
      <c r="W150" s="34">
        <v>0.36</v>
      </c>
      <c r="X150" s="34">
        <v>0.4</v>
      </c>
      <c r="Y150" s="34">
        <v>0.68</v>
      </c>
      <c r="Z150" s="34">
        <v>0.54</v>
      </c>
      <c r="AA150" s="34">
        <v>0.56000000000000005</v>
      </c>
      <c r="AB150" s="34">
        <v>0.55000000000000004</v>
      </c>
      <c r="AC150" s="34">
        <v>0.56000000000000005</v>
      </c>
      <c r="AD150" s="34">
        <v>0.51</v>
      </c>
      <c r="AE150" s="34">
        <v>0.56000000000000005</v>
      </c>
      <c r="AF150" s="34">
        <v>0.6</v>
      </c>
      <c r="AG150" s="34">
        <v>0.77</v>
      </c>
      <c r="AH150" s="34">
        <v>0.76</v>
      </c>
      <c r="AI150" s="34">
        <v>0.72099999999999997</v>
      </c>
      <c r="AJ150" s="34">
        <v>0.70099999999999996</v>
      </c>
      <c r="AK150" s="34">
        <v>0.82699999999999996</v>
      </c>
      <c r="AL150" s="34">
        <v>0.79</v>
      </c>
      <c r="AM150" s="34">
        <v>0.76600000000000001</v>
      </c>
      <c r="AN150" s="34">
        <v>0.77300000000000002</v>
      </c>
      <c r="AO150" s="34">
        <v>0.72699999999999998</v>
      </c>
      <c r="AP150" s="34">
        <v>0.5</v>
      </c>
      <c r="AQ150" s="34">
        <v>0.48</v>
      </c>
      <c r="AR150" s="34">
        <v>0.42</v>
      </c>
      <c r="AS150" s="34">
        <v>0.11</v>
      </c>
      <c r="AT150" s="34">
        <v>9.6000000000000002E-2</v>
      </c>
      <c r="AU150" s="34">
        <v>8.7999999999999995E-2</v>
      </c>
      <c r="AV150" s="34">
        <v>8.8999999999999996E-2</v>
      </c>
      <c r="AW150" s="34">
        <v>0.26500000000000001</v>
      </c>
      <c r="AX150" s="114">
        <v>0.61899999999999999</v>
      </c>
      <c r="AY150" s="114">
        <v>0.73399999999999999</v>
      </c>
      <c r="AZ150" s="121">
        <v>0.78500000000000003</v>
      </c>
      <c r="BA150" s="121">
        <v>0.94599999999999995</v>
      </c>
    </row>
    <row r="151" spans="1:53" ht="14.1" customHeight="1" outlineLevel="1" x14ac:dyDescent="0.25">
      <c r="B151" s="39" t="s">
        <v>199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</row>
    <row r="152" spans="1:53" ht="14.1" customHeight="1" outlineLevel="1" x14ac:dyDescent="0.25">
      <c r="B152" s="98" t="s">
        <v>204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3"/>
      <c r="V152" s="13"/>
      <c r="W152" s="13"/>
      <c r="X152" s="13"/>
      <c r="Y152" s="13"/>
      <c r="Z152" s="13"/>
      <c r="AA152" s="13"/>
      <c r="AB152" s="28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53" outlineLevel="1" x14ac:dyDescent="0.25">
      <c r="B153" s="99" t="s">
        <v>224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3"/>
      <c r="V153" s="13"/>
      <c r="W153" s="13"/>
      <c r="X153" s="13"/>
      <c r="Y153" s="13"/>
      <c r="Z153" s="13"/>
      <c r="AA153" s="13"/>
      <c r="AB153" s="28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>
        <v>15</v>
      </c>
      <c r="AT153" s="13">
        <v>2816</v>
      </c>
      <c r="AU153" s="13">
        <v>6489</v>
      </c>
      <c r="AV153" s="3">
        <v>7933</v>
      </c>
      <c r="AW153" s="13">
        <v>107</v>
      </c>
      <c r="AX153" s="3">
        <v>1506</v>
      </c>
      <c r="AY153" s="3">
        <v>3938</v>
      </c>
      <c r="AZ153" s="3">
        <v>4413</v>
      </c>
      <c r="BA153" s="62">
        <v>80</v>
      </c>
    </row>
    <row r="154" spans="1:53" outlineLevel="1" x14ac:dyDescent="0.25">
      <c r="B154" s="99" t="s">
        <v>180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13"/>
      <c r="V154" s="13"/>
      <c r="W154" s="13"/>
      <c r="X154" s="13"/>
      <c r="Y154" s="13"/>
      <c r="Z154" s="13"/>
      <c r="AA154" s="13"/>
      <c r="AB154" s="28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>
        <v>9</v>
      </c>
      <c r="AT154" s="13">
        <v>1013</v>
      </c>
      <c r="AU154" s="13">
        <v>1943</v>
      </c>
      <c r="AV154" s="3">
        <v>2759</v>
      </c>
      <c r="AW154" s="13">
        <v>401</v>
      </c>
      <c r="AX154" s="3">
        <v>992</v>
      </c>
      <c r="AY154" s="3">
        <v>2367</v>
      </c>
      <c r="AZ154" s="3">
        <v>3787</v>
      </c>
      <c r="BA154" s="62">
        <v>124</v>
      </c>
    </row>
    <row r="155" spans="1:53" outlineLevel="1" x14ac:dyDescent="0.25">
      <c r="B155" s="99" t="s">
        <v>206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13"/>
      <c r="V155" s="13"/>
      <c r="W155" s="13"/>
      <c r="X155" s="13"/>
      <c r="Y155" s="13"/>
      <c r="Z155" s="13"/>
      <c r="AA155" s="13"/>
      <c r="AB155" s="28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>
        <v>39.170999999999999</v>
      </c>
      <c r="AT155" s="13">
        <v>48</v>
      </c>
      <c r="AU155" s="13">
        <v>48</v>
      </c>
      <c r="AV155" s="13">
        <v>103</v>
      </c>
      <c r="AW155" s="3">
        <v>48.18</v>
      </c>
      <c r="AX155" s="3">
        <v>52</v>
      </c>
      <c r="AY155" s="3">
        <v>52</v>
      </c>
      <c r="AZ155" s="3">
        <v>118</v>
      </c>
      <c r="BA155" s="3">
        <v>34</v>
      </c>
    </row>
    <row r="156" spans="1:53" outlineLevel="1" x14ac:dyDescent="0.25">
      <c r="B156" s="102" t="s">
        <v>205</v>
      </c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11"/>
      <c r="V156" s="11"/>
      <c r="W156" s="11"/>
      <c r="X156" s="11"/>
      <c r="Y156" s="11"/>
      <c r="Z156" s="11"/>
      <c r="AA156" s="11"/>
      <c r="AB156" s="40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0"/>
      <c r="AX156" s="10"/>
      <c r="AY156" s="10"/>
      <c r="AZ156" s="10"/>
      <c r="BA156" s="10"/>
    </row>
    <row r="157" spans="1:53" outlineLevel="1" x14ac:dyDescent="0.25">
      <c r="B157" s="105" t="s">
        <v>218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20"/>
      <c r="V157" s="20"/>
      <c r="W157" s="20"/>
      <c r="X157" s="20"/>
      <c r="Y157" s="20"/>
      <c r="Z157" s="20"/>
      <c r="AA157" s="20"/>
      <c r="AB157" s="3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59"/>
      <c r="AX157" s="59"/>
      <c r="AY157" s="59"/>
      <c r="AZ157" s="59"/>
      <c r="BA157" s="59"/>
    </row>
    <row r="158" spans="1:53" outlineLevel="1" x14ac:dyDescent="0.25">
      <c r="B158" s="100" t="s">
        <v>208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3"/>
      <c r="V158" s="13"/>
      <c r="W158" s="13"/>
      <c r="X158" s="13"/>
      <c r="Y158" s="13"/>
      <c r="Z158" s="13"/>
      <c r="AA158" s="13"/>
      <c r="AB158" s="28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>
        <v>16</v>
      </c>
      <c r="AW158" s="3">
        <v>4255.1000000000004</v>
      </c>
      <c r="AX158" s="3">
        <v>5776</v>
      </c>
      <c r="AY158" s="3">
        <v>5897</v>
      </c>
      <c r="AZ158" s="3">
        <v>6035</v>
      </c>
      <c r="BA158" s="3">
        <v>1181.04</v>
      </c>
    </row>
    <row r="159" spans="1:53" outlineLevel="1" x14ac:dyDescent="0.25">
      <c r="B159" s="100" t="s">
        <v>209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3"/>
      <c r="V159" s="13"/>
      <c r="W159" s="13"/>
      <c r="X159" s="13"/>
      <c r="Y159" s="13"/>
      <c r="Z159" s="13"/>
      <c r="AA159" s="13"/>
      <c r="AB159" s="28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>
        <v>790.55</v>
      </c>
      <c r="AT159" s="13">
        <v>3282</v>
      </c>
      <c r="AU159" s="13">
        <v>3282</v>
      </c>
      <c r="AV159" s="13">
        <v>3572</v>
      </c>
      <c r="AW159" s="3">
        <v>331.6</v>
      </c>
      <c r="AX159" s="3">
        <v>2458</v>
      </c>
      <c r="AY159" s="3">
        <v>2458</v>
      </c>
      <c r="AZ159" s="3">
        <v>2458</v>
      </c>
      <c r="BA159" s="3">
        <v>5.5</v>
      </c>
    </row>
    <row r="160" spans="1:53" outlineLevel="1" x14ac:dyDescent="0.25">
      <c r="B160" s="100" t="s">
        <v>210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3"/>
      <c r="V160" s="13"/>
      <c r="W160" s="13"/>
      <c r="X160" s="13"/>
      <c r="Y160" s="13"/>
      <c r="Z160" s="13"/>
      <c r="AA160" s="13"/>
      <c r="AB160" s="28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>
        <v>50.649000000000001</v>
      </c>
      <c r="AT160" s="13">
        <v>80</v>
      </c>
      <c r="AU160" s="13">
        <v>85</v>
      </c>
      <c r="AV160" s="13">
        <v>90</v>
      </c>
      <c r="AW160" s="3">
        <v>42.08</v>
      </c>
      <c r="AX160" s="3">
        <v>78</v>
      </c>
      <c r="AY160" s="3">
        <v>84</v>
      </c>
      <c r="AZ160" s="3">
        <v>100</v>
      </c>
      <c r="BA160" s="3">
        <v>36.491999999999997</v>
      </c>
    </row>
    <row r="161" spans="1:53" outlineLevel="1" x14ac:dyDescent="0.25">
      <c r="B161" s="100" t="s">
        <v>227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13"/>
      <c r="V161" s="13"/>
      <c r="W161" s="13"/>
      <c r="X161" s="13"/>
      <c r="Y161" s="13"/>
      <c r="Z161" s="13"/>
      <c r="AA161" s="13"/>
      <c r="AB161" s="28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>
        <v>10.7</v>
      </c>
      <c r="AT161" s="13">
        <v>95</v>
      </c>
      <c r="AU161" s="13">
        <v>182</v>
      </c>
      <c r="AV161" s="13">
        <v>395</v>
      </c>
      <c r="AW161" s="3">
        <v>13.506</v>
      </c>
      <c r="AX161" s="3">
        <v>74</v>
      </c>
      <c r="AY161" s="3">
        <v>96</v>
      </c>
      <c r="AZ161" s="3">
        <v>104</v>
      </c>
      <c r="BA161" s="3">
        <v>3.85</v>
      </c>
    </row>
    <row r="162" spans="1:53" outlineLevel="1" x14ac:dyDescent="0.25">
      <c r="B162" s="100" t="s">
        <v>211</v>
      </c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13"/>
      <c r="V162" s="13"/>
      <c r="W162" s="13"/>
      <c r="X162" s="13"/>
      <c r="Y162" s="13"/>
      <c r="Z162" s="13"/>
      <c r="AA162" s="13"/>
      <c r="AB162" s="28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>
        <v>0</v>
      </c>
      <c r="AT162" s="13">
        <v>0</v>
      </c>
      <c r="AU162" s="13">
        <v>0</v>
      </c>
      <c r="AV162" s="13">
        <v>5</v>
      </c>
      <c r="AW162" s="3">
        <v>85.751000000000005</v>
      </c>
      <c r="AX162" s="3">
        <v>85.751000000000005</v>
      </c>
      <c r="AY162" s="3">
        <v>85.751000000000005</v>
      </c>
      <c r="AZ162" s="3">
        <v>106</v>
      </c>
      <c r="BA162" s="3">
        <v>91.341999999999999</v>
      </c>
    </row>
    <row r="163" spans="1:53" ht="13.5" customHeight="1" outlineLevel="1" x14ac:dyDescent="0.25">
      <c r="B163" s="101" t="s">
        <v>212</v>
      </c>
      <c r="AS163" s="13">
        <v>0</v>
      </c>
      <c r="AT163" s="13">
        <v>0</v>
      </c>
      <c r="AU163" s="62">
        <v>750</v>
      </c>
      <c r="AV163" s="3">
        <v>19295</v>
      </c>
      <c r="AW163" s="3">
        <v>143.02000000000001</v>
      </c>
      <c r="AX163" s="3">
        <v>145</v>
      </c>
      <c r="AY163" s="3">
        <v>1456</v>
      </c>
      <c r="AZ163" s="3">
        <v>11789</v>
      </c>
      <c r="BA163" s="3">
        <v>144.80000000000001</v>
      </c>
    </row>
    <row r="164" spans="1:53" ht="13.5" customHeight="1" outlineLevel="1" x14ac:dyDescent="0.25">
      <c r="B164" s="101" t="s">
        <v>238</v>
      </c>
      <c r="AS164" s="13"/>
      <c r="AT164" s="13"/>
      <c r="AU164" s="62"/>
      <c r="AV164" s="62"/>
      <c r="AW164" s="3">
        <v>0</v>
      </c>
      <c r="AX164" s="3">
        <v>0</v>
      </c>
      <c r="AY164" s="3">
        <v>0</v>
      </c>
      <c r="AZ164" s="3">
        <v>9990</v>
      </c>
      <c r="BA164" s="3">
        <v>334.06</v>
      </c>
    </row>
    <row r="165" spans="1:53" ht="13.5" customHeight="1" outlineLevel="1" x14ac:dyDescent="0.25">
      <c r="B165" s="101" t="s">
        <v>239</v>
      </c>
      <c r="AS165" s="13"/>
      <c r="AT165" s="13"/>
      <c r="AU165" s="62"/>
      <c r="AV165" s="62"/>
      <c r="AW165" s="3">
        <v>0</v>
      </c>
      <c r="AX165" s="3">
        <v>0</v>
      </c>
      <c r="AY165" s="3">
        <v>0</v>
      </c>
      <c r="AZ165" s="3">
        <v>1871</v>
      </c>
      <c r="BA165" s="3">
        <v>0</v>
      </c>
    </row>
    <row r="166" spans="1:53" ht="13.5" customHeight="1" outlineLevel="1" x14ac:dyDescent="0.25">
      <c r="B166" s="101" t="s">
        <v>225</v>
      </c>
      <c r="AS166" s="13">
        <v>0</v>
      </c>
      <c r="AT166" s="13">
        <v>0</v>
      </c>
      <c r="AU166" s="62">
        <v>42</v>
      </c>
      <c r="AV166" s="62">
        <v>42</v>
      </c>
      <c r="AW166" s="13">
        <v>0</v>
      </c>
      <c r="AX166" s="3">
        <v>9</v>
      </c>
      <c r="AY166" s="3">
        <v>9</v>
      </c>
      <c r="AZ166" s="3">
        <v>9</v>
      </c>
      <c r="BA166" s="3">
        <v>19.619</v>
      </c>
    </row>
    <row r="167" spans="1:53" ht="13.5" customHeight="1" outlineLevel="1" x14ac:dyDescent="0.25">
      <c r="B167" s="101" t="s">
        <v>226</v>
      </c>
      <c r="AS167" s="13">
        <v>0</v>
      </c>
      <c r="AT167" s="13">
        <v>1</v>
      </c>
      <c r="AU167" s="13">
        <v>0</v>
      </c>
      <c r="AV167" s="62">
        <v>4</v>
      </c>
      <c r="AW167" s="13">
        <v>0</v>
      </c>
      <c r="AX167" s="13">
        <v>0</v>
      </c>
      <c r="AY167" s="13">
        <v>0</v>
      </c>
      <c r="AZ167" s="13">
        <v>1</v>
      </c>
      <c r="BA167" s="3">
        <v>0</v>
      </c>
    </row>
    <row r="168" spans="1:53" outlineLevel="1" x14ac:dyDescent="0.25">
      <c r="B168" s="105" t="s">
        <v>219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20"/>
    </row>
    <row r="169" spans="1:53" outlineLevel="1" x14ac:dyDescent="0.25">
      <c r="B169" s="101" t="s">
        <v>214</v>
      </c>
      <c r="AS169" s="3"/>
      <c r="AT169" s="3"/>
      <c r="AU169" s="3"/>
      <c r="AV169" s="3"/>
      <c r="AW169" s="3">
        <v>9</v>
      </c>
      <c r="AX169" s="3">
        <v>9</v>
      </c>
      <c r="AY169" s="3">
        <v>9</v>
      </c>
      <c r="AZ169" s="3">
        <v>9</v>
      </c>
      <c r="BA169" s="62">
        <v>0</v>
      </c>
    </row>
    <row r="170" spans="1:53" outlineLevel="1" x14ac:dyDescent="0.25">
      <c r="B170" s="101" t="s">
        <v>237</v>
      </c>
      <c r="AS170" s="3"/>
      <c r="AT170" s="3"/>
      <c r="AU170" s="3"/>
      <c r="AV170" s="3"/>
      <c r="AW170" s="3"/>
      <c r="AX170" s="3"/>
      <c r="AY170" s="3"/>
      <c r="AZ170" s="3">
        <v>1760</v>
      </c>
      <c r="BA170" s="62">
        <v>0</v>
      </c>
    </row>
    <row r="171" spans="1:53" outlineLevel="1" x14ac:dyDescent="0.25">
      <c r="B171" s="101" t="s">
        <v>236</v>
      </c>
      <c r="AS171" s="3"/>
      <c r="AT171" s="3"/>
      <c r="AU171" s="3"/>
      <c r="AV171" s="3">
        <v>25</v>
      </c>
      <c r="AW171" s="3"/>
      <c r="AX171" s="3"/>
      <c r="AY171" s="3"/>
      <c r="AZ171" s="3"/>
    </row>
    <row r="172" spans="1:53" outlineLevel="1" x14ac:dyDescent="0.25">
      <c r="A172" s="65" t="s">
        <v>165</v>
      </c>
      <c r="B172" s="101" t="s">
        <v>208</v>
      </c>
      <c r="AS172" s="3">
        <v>646.24</v>
      </c>
      <c r="AT172" s="3">
        <v>1139</v>
      </c>
      <c r="AU172" s="3">
        <v>1139</v>
      </c>
      <c r="AV172" s="3">
        <v>1139</v>
      </c>
      <c r="AW172" s="3">
        <v>495.07</v>
      </c>
      <c r="AX172" s="3">
        <v>495.07</v>
      </c>
      <c r="AY172" s="3">
        <v>495.07</v>
      </c>
      <c r="AZ172" s="3">
        <v>495.07</v>
      </c>
      <c r="BA172" s="62">
        <v>0</v>
      </c>
    </row>
  </sheetData>
  <hyperlinks>
    <hyperlink ref="B3" location="'Operasyonel Veriler'!A85" display="Çeyreklik Operasyonel Veriler" xr:uid="{00000000-0004-0000-0100-000000000000}"/>
    <hyperlink ref="B4" location="'Operasyonel Veriler'!A172" display="Kümülatif Operasyonel Veriler" xr:uid="{00000000-0004-0000-0100-000001000000}"/>
    <hyperlink ref="A85" location="'Operasyonel Veriler'!A1" display="Yukarı" xr:uid="{00000000-0004-0000-0100-000002000000}"/>
    <hyperlink ref="A172" location="'Operasyonel Veriler'!A1" display="Yukarı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2" manualBreakCount="2">
    <brk id="5" max="16383" man="1"/>
    <brk id="77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A533-F4FE-4570-A7CD-512C13350844}">
  <sheetPr>
    <tabColor theme="8" tint="-0.249977111117893"/>
    <pageSetUpPr fitToPage="1"/>
  </sheetPr>
  <dimension ref="A2:L219"/>
  <sheetViews>
    <sheetView zoomScale="80" zoomScaleNormal="80" workbookViewId="0">
      <pane xSplit="2" topLeftCell="C1" activePane="topRight" state="frozen"/>
      <selection pane="topRight" activeCell="C1" sqref="C1"/>
    </sheetView>
  </sheetViews>
  <sheetFormatPr defaultColWidth="9.109375" defaultRowHeight="13.2" outlineLevelRow="1" x14ac:dyDescent="0.25"/>
  <cols>
    <col min="1" max="1" width="8.6640625" style="66" customWidth="1"/>
    <col min="2" max="2" width="69.88671875" style="1" customWidth="1"/>
    <col min="3" max="10" width="10.6640625" style="1" customWidth="1"/>
    <col min="11" max="16384" width="9.109375" style="1"/>
  </cols>
  <sheetData>
    <row r="2" spans="1:11" s="127" customFormat="1" ht="24" customHeight="1" x14ac:dyDescent="0.3">
      <c r="A2" s="126"/>
      <c r="B2" s="125" t="s">
        <v>164</v>
      </c>
    </row>
    <row r="3" spans="1:11" ht="15.9" customHeight="1" x14ac:dyDescent="0.25">
      <c r="A3" s="103" t="s">
        <v>215</v>
      </c>
      <c r="B3" s="65" t="s">
        <v>150</v>
      </c>
    </row>
    <row r="4" spans="1:11" ht="15.9" customHeight="1" x14ac:dyDescent="0.25">
      <c r="A4" s="103" t="s">
        <v>215</v>
      </c>
      <c r="B4" s="65" t="s">
        <v>151</v>
      </c>
    </row>
    <row r="5" spans="1:11" ht="15.9" customHeight="1" x14ac:dyDescent="0.25">
      <c r="A5" s="103" t="s">
        <v>215</v>
      </c>
      <c r="B5" s="65" t="s">
        <v>152</v>
      </c>
    </row>
    <row r="6" spans="1:11" ht="15.9" customHeight="1" x14ac:dyDescent="0.25">
      <c r="A6" s="103" t="s">
        <v>215</v>
      </c>
      <c r="B6" s="65" t="s">
        <v>243</v>
      </c>
    </row>
    <row r="7" spans="1:11" ht="15.9" customHeight="1" x14ac:dyDescent="0.25">
      <c r="A7" s="103" t="s">
        <v>215</v>
      </c>
      <c r="B7" s="65" t="s">
        <v>153</v>
      </c>
    </row>
    <row r="8" spans="1:11" ht="15.9" customHeight="1" x14ac:dyDescent="0.25">
      <c r="A8" s="103" t="s">
        <v>215</v>
      </c>
      <c r="B8" s="65" t="s">
        <v>240</v>
      </c>
    </row>
    <row r="9" spans="1:11" ht="15.9" customHeight="1" x14ac:dyDescent="0.25">
      <c r="A9" s="103" t="s">
        <v>215</v>
      </c>
      <c r="B9" s="65" t="s">
        <v>112</v>
      </c>
    </row>
    <row r="10" spans="1:11" ht="15.9" customHeight="1" x14ac:dyDescent="0.25">
      <c r="A10" s="103" t="s">
        <v>215</v>
      </c>
      <c r="B10" s="65" t="s">
        <v>155</v>
      </c>
    </row>
    <row r="11" spans="1:11" ht="15.9" customHeight="1" x14ac:dyDescent="0.25">
      <c r="A11" s="103" t="s">
        <v>215</v>
      </c>
      <c r="B11" s="65" t="s">
        <v>124</v>
      </c>
    </row>
    <row r="12" spans="1:11" ht="15.9" customHeight="1" x14ac:dyDescent="0.25">
      <c r="A12" s="103" t="s">
        <v>215</v>
      </c>
      <c r="B12" s="65" t="s">
        <v>161</v>
      </c>
    </row>
    <row r="13" spans="1:11" ht="15.9" customHeight="1" x14ac:dyDescent="0.25">
      <c r="A13" s="103" t="s">
        <v>215</v>
      </c>
      <c r="B13" s="65" t="s">
        <v>166</v>
      </c>
    </row>
    <row r="14" spans="1:11" ht="15.9" customHeight="1" x14ac:dyDescent="0.25">
      <c r="A14" s="103" t="s">
        <v>215</v>
      </c>
      <c r="B14" s="65" t="s">
        <v>139</v>
      </c>
    </row>
    <row r="16" spans="1:11" ht="20.100000000000001" customHeight="1" outlineLevel="1" x14ac:dyDescent="0.25">
      <c r="B16" s="36" t="s">
        <v>150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outlineLevel="1" x14ac:dyDescent="0.25">
      <c r="B17" s="35" t="s">
        <v>65</v>
      </c>
      <c r="C17" s="39" t="s">
        <v>188</v>
      </c>
      <c r="D17" s="39" t="s">
        <v>190</v>
      </c>
      <c r="E17" s="39" t="s">
        <v>193</v>
      </c>
      <c r="F17" s="39">
        <v>2019</v>
      </c>
      <c r="G17" s="39" t="s">
        <v>195</v>
      </c>
      <c r="H17" s="39" t="s">
        <v>221</v>
      </c>
      <c r="I17" s="39" t="s">
        <v>228</v>
      </c>
      <c r="J17" s="39">
        <v>2020</v>
      </c>
      <c r="K17" s="39" t="s">
        <v>245</v>
      </c>
    </row>
    <row r="18" spans="1:11" ht="15" customHeight="1" outlineLevel="1" x14ac:dyDescent="0.25">
      <c r="B18" s="10" t="s">
        <v>66</v>
      </c>
      <c r="C18" s="13">
        <v>4587.4780000000001</v>
      </c>
      <c r="D18" s="13">
        <v>8305.8829999999998</v>
      </c>
      <c r="E18" s="13">
        <v>11296.815000000001</v>
      </c>
      <c r="F18" s="3">
        <v>14603.353999999999</v>
      </c>
      <c r="G18" s="3">
        <v>3021.94</v>
      </c>
      <c r="H18" s="3">
        <v>5680.3469999999998</v>
      </c>
      <c r="I18" s="3">
        <v>8373.5879999999997</v>
      </c>
      <c r="J18" s="3">
        <v>11729.779</v>
      </c>
      <c r="K18" s="3">
        <v>3790.5909999999999</v>
      </c>
    </row>
    <row r="19" spans="1:11" ht="15" customHeight="1" outlineLevel="1" x14ac:dyDescent="0.25">
      <c r="B19" s="42" t="s">
        <v>67</v>
      </c>
      <c r="C19" s="43">
        <v>1063.692</v>
      </c>
      <c r="D19" s="43">
        <v>1632.9970000000001</v>
      </c>
      <c r="E19" s="43">
        <v>2147.5610000000001</v>
      </c>
      <c r="F19" s="4">
        <v>2401.5619999999999</v>
      </c>
      <c r="G19" s="4">
        <v>243.97800000000001</v>
      </c>
      <c r="H19" s="4">
        <v>599.50099999999998</v>
      </c>
      <c r="I19" s="4">
        <v>717.27800000000002</v>
      </c>
      <c r="J19" s="4">
        <v>913.99699999999996</v>
      </c>
      <c r="K19" s="4">
        <v>650.35199999999998</v>
      </c>
    </row>
    <row r="20" spans="1:11" ht="15" customHeight="1" outlineLevel="1" x14ac:dyDescent="0.25">
      <c r="B20" s="25" t="s">
        <v>68</v>
      </c>
      <c r="C20" s="46">
        <v>0.23186857789835721</v>
      </c>
      <c r="D20" s="46">
        <v>0.19660727221898022</v>
      </c>
      <c r="E20" s="46">
        <v>0.19010322821078332</v>
      </c>
      <c r="F20" s="89">
        <v>0.16445276886391988</v>
      </c>
      <c r="G20" s="89">
        <f>G19/G18</f>
        <v>8.0735553981879191E-2</v>
      </c>
      <c r="H20" s="89">
        <f>H19/H18</f>
        <v>0.10553950313246709</v>
      </c>
      <c r="I20" s="89">
        <f>I19/I18</f>
        <v>8.5659576277218319E-2</v>
      </c>
      <c r="J20" s="89">
        <f>J19/J18</f>
        <v>7.7921075921379243E-2</v>
      </c>
      <c r="K20" s="89">
        <f>K19/K18</f>
        <v>0.17157007970524912</v>
      </c>
    </row>
    <row r="21" spans="1:11" ht="15" customHeight="1" outlineLevel="1" x14ac:dyDescent="0.25">
      <c r="B21" s="42" t="s">
        <v>69</v>
      </c>
      <c r="C21" s="47">
        <v>851.38400000000001</v>
      </c>
      <c r="D21" s="43">
        <v>1283.489</v>
      </c>
      <c r="E21" s="43">
        <v>1606.614</v>
      </c>
      <c r="F21" s="4">
        <v>1603.3910000000001</v>
      </c>
      <c r="G21" s="4">
        <v>-32.281999999999996</v>
      </c>
      <c r="H21" s="4">
        <v>68.188000000000002</v>
      </c>
      <c r="I21" s="4">
        <v>-75.617000000000004</v>
      </c>
      <c r="J21" s="4">
        <v>1.012</v>
      </c>
      <c r="K21" s="4">
        <v>306.58100000000002</v>
      </c>
    </row>
    <row r="22" spans="1:11" ht="15" customHeight="1" outlineLevel="1" x14ac:dyDescent="0.25">
      <c r="B22" s="25" t="s">
        <v>68</v>
      </c>
      <c r="C22" s="46">
        <v>0.18558868293210343</v>
      </c>
      <c r="D22" s="46">
        <v>0.15452770042631231</v>
      </c>
      <c r="E22" s="46">
        <v>0.14221831551636457</v>
      </c>
      <c r="F22" s="89">
        <v>0.10979607835295919</v>
      </c>
      <c r="G22" s="89">
        <f>G21/G18</f>
        <v>-1.068254167852439E-2</v>
      </c>
      <c r="H22" s="89">
        <f>H21/H18</f>
        <v>1.2004196222519506E-2</v>
      </c>
      <c r="I22" s="89">
        <f>I21/I18</f>
        <v>-9.0304180239104206E-3</v>
      </c>
      <c r="J22" s="89">
        <f>J21/J18</f>
        <v>8.6276135296325696E-5</v>
      </c>
      <c r="K22" s="89">
        <f>K21/K18</f>
        <v>8.0879472356685286E-2</v>
      </c>
    </row>
    <row r="23" spans="1:11" ht="15" customHeight="1" outlineLevel="1" x14ac:dyDescent="0.25">
      <c r="B23" s="42" t="s">
        <v>70</v>
      </c>
      <c r="C23" s="43">
        <v>942.63599999999997</v>
      </c>
      <c r="D23" s="43">
        <v>1397.3579999999999</v>
      </c>
      <c r="E23" s="43">
        <v>1799.191</v>
      </c>
      <c r="F23" s="4">
        <v>1921.048</v>
      </c>
      <c r="G23" s="43">
        <v>123.64400000000001</v>
      </c>
      <c r="H23" s="43">
        <v>348.87400000000002</v>
      </c>
      <c r="I23" s="43">
        <v>376.83800000000002</v>
      </c>
      <c r="J23" s="43">
        <v>458.75200000000001</v>
      </c>
      <c r="K23" s="43">
        <v>516.12800000000004</v>
      </c>
    </row>
    <row r="24" spans="1:11" ht="15" customHeight="1" outlineLevel="1" x14ac:dyDescent="0.25">
      <c r="B24" s="25" t="s">
        <v>68</v>
      </c>
      <c r="C24" s="46">
        <v>0.20548022246646194</v>
      </c>
      <c r="D24" s="46">
        <v>0.16823713986821148</v>
      </c>
      <c r="E24" s="46">
        <v>0.15926533275086827</v>
      </c>
      <c r="F24" s="89">
        <v>0.13154841004333662</v>
      </c>
      <c r="G24" s="46">
        <f>G23/G18</f>
        <v>4.0915438426970756E-2</v>
      </c>
      <c r="H24" s="46">
        <f>H23/H18</f>
        <v>6.141772676915689E-2</v>
      </c>
      <c r="I24" s="46">
        <f>I23/I18</f>
        <v>4.5003169489590371E-2</v>
      </c>
      <c r="J24" s="46">
        <f>J23/J18</f>
        <v>3.9110029268241114E-2</v>
      </c>
      <c r="K24" s="46">
        <f>K23/K18</f>
        <v>0.13616029795881435</v>
      </c>
    </row>
    <row r="25" spans="1:11" ht="15" customHeight="1" outlineLevel="1" x14ac:dyDescent="0.25">
      <c r="B25" s="41" t="s">
        <v>71</v>
      </c>
      <c r="C25" s="48">
        <v>109.654</v>
      </c>
      <c r="D25" s="48">
        <v>168.08100000000002</v>
      </c>
      <c r="E25" s="48">
        <v>167.66500000000002</v>
      </c>
      <c r="F25" s="85">
        <v>230.91400000000004</v>
      </c>
      <c r="G25" s="48">
        <f>177.626-85.766</f>
        <v>91.86</v>
      </c>
      <c r="H25" s="48">
        <f>333.8-175.362</f>
        <v>158.43800000000002</v>
      </c>
      <c r="I25" s="48">
        <f>635.605-261.896</f>
        <v>373.709</v>
      </c>
      <c r="J25" s="48">
        <f>824.286-599.589</f>
        <v>224.69699999999989</v>
      </c>
      <c r="K25" s="48">
        <f>364.27-145.163</f>
        <v>219.10699999999997</v>
      </c>
    </row>
    <row r="26" spans="1:11" ht="15" customHeight="1" outlineLevel="1" x14ac:dyDescent="0.25">
      <c r="B26" s="80" t="s">
        <v>186</v>
      </c>
      <c r="C26" s="81">
        <v>971.05499999999995</v>
      </c>
      <c r="D26" s="81">
        <v>1460.625</v>
      </c>
      <c r="E26" s="81">
        <v>1793.89</v>
      </c>
      <c r="F26" s="90">
        <v>1777.0070000000001</v>
      </c>
      <c r="G26" s="90">
        <v>77.715999999999994</v>
      </c>
      <c r="H26" s="90">
        <v>259.48700000000002</v>
      </c>
      <c r="I26" s="90">
        <v>332.14400000000001</v>
      </c>
      <c r="J26" s="90">
        <v>229.47399999999999</v>
      </c>
      <c r="K26" s="90">
        <v>526.34900000000005</v>
      </c>
    </row>
    <row r="27" spans="1:11" ht="15" customHeight="1" outlineLevel="1" x14ac:dyDescent="0.25">
      <c r="B27" s="41" t="s">
        <v>72</v>
      </c>
      <c r="C27" s="48">
        <v>-190.15</v>
      </c>
      <c r="D27" s="48">
        <v>-281.26400000000001</v>
      </c>
      <c r="E27" s="48">
        <v>-357.541</v>
      </c>
      <c r="F27" s="85">
        <v>-362.14800000000002</v>
      </c>
      <c r="G27" s="85">
        <v>-31.356999999999999</v>
      </c>
      <c r="H27" s="85">
        <f>-(95.169)-(22.896)</f>
        <v>-118.065</v>
      </c>
      <c r="I27" s="85">
        <v>-204.184</v>
      </c>
      <c r="J27" s="85">
        <v>-296.87200000000001</v>
      </c>
      <c r="K27" s="85">
        <v>-116.971</v>
      </c>
    </row>
    <row r="28" spans="1:11" ht="15" customHeight="1" outlineLevel="1" x14ac:dyDescent="0.25">
      <c r="B28" s="54" t="s">
        <v>73</v>
      </c>
      <c r="C28" s="55">
        <v>780.90499999999997</v>
      </c>
      <c r="D28" s="55">
        <v>1179.3610000000001</v>
      </c>
      <c r="E28" s="55">
        <v>1436.3489999999999</v>
      </c>
      <c r="F28" s="55">
        <v>1414.8589999999999</v>
      </c>
      <c r="G28" s="55">
        <v>46.359000000000002</v>
      </c>
      <c r="H28" s="55">
        <v>141.422</v>
      </c>
      <c r="I28" s="55">
        <v>127.96</v>
      </c>
      <c r="J28" s="55">
        <v>-67.397999999999996</v>
      </c>
      <c r="K28" s="55">
        <v>409.37799999999999</v>
      </c>
    </row>
    <row r="29" spans="1:11" ht="15" customHeight="1" outlineLevel="1" x14ac:dyDescent="0.25">
      <c r="A29" s="65" t="s">
        <v>165</v>
      </c>
      <c r="B29" s="56" t="s">
        <v>68</v>
      </c>
      <c r="C29" s="57">
        <v>0.17022533950026572</v>
      </c>
      <c r="D29" s="57">
        <v>0.14199104417916797</v>
      </c>
      <c r="E29" s="57">
        <v>0.12714636824627118</v>
      </c>
      <c r="F29" s="57">
        <v>9.6885893473513007E-2</v>
      </c>
      <c r="G29" s="57">
        <f>G28/G18</f>
        <v>1.5340807560706037E-2</v>
      </c>
      <c r="H29" s="57">
        <f>H28/H18</f>
        <v>2.4896718457516769E-2</v>
      </c>
      <c r="I29" s="57">
        <f>I28/I18</f>
        <v>1.5281382365600027E-2</v>
      </c>
      <c r="J29" s="57">
        <f>J28/J18</f>
        <v>-5.7458883070175487E-3</v>
      </c>
      <c r="K29" s="57">
        <f>K28/K18</f>
        <v>0.10799846250888054</v>
      </c>
    </row>
    <row r="32" spans="1:11" ht="20.100000000000001" customHeight="1" outlineLevel="1" x14ac:dyDescent="0.25">
      <c r="B32" s="36" t="s">
        <v>151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outlineLevel="1" x14ac:dyDescent="0.25">
      <c r="B33" s="35" t="s">
        <v>65</v>
      </c>
      <c r="C33" s="39" t="s">
        <v>187</v>
      </c>
      <c r="D33" s="39" t="s">
        <v>189</v>
      </c>
      <c r="E33" s="39" t="s">
        <v>192</v>
      </c>
      <c r="F33" s="39" t="s">
        <v>194</v>
      </c>
      <c r="G33" s="39" t="s">
        <v>196</v>
      </c>
      <c r="H33" s="39" t="s">
        <v>220</v>
      </c>
      <c r="I33" s="39" t="s">
        <v>229</v>
      </c>
      <c r="J33" s="39" t="s">
        <v>233</v>
      </c>
      <c r="K33" s="39" t="s">
        <v>244</v>
      </c>
    </row>
    <row r="34" spans="1:11" ht="15" customHeight="1" outlineLevel="1" x14ac:dyDescent="0.25">
      <c r="B34" s="10" t="s">
        <v>66</v>
      </c>
      <c r="C34" s="45">
        <f>+C18</f>
        <v>4587.4780000000001</v>
      </c>
      <c r="D34" s="45">
        <f t="shared" ref="D34:J35" si="0">+D18-C18</f>
        <v>3718.4049999999997</v>
      </c>
      <c r="E34" s="45">
        <f t="shared" si="0"/>
        <v>2990.9320000000007</v>
      </c>
      <c r="F34" s="45">
        <f t="shared" si="0"/>
        <v>3306.5389999999989</v>
      </c>
      <c r="G34" s="45">
        <f>+G18</f>
        <v>3021.94</v>
      </c>
      <c r="H34" s="45">
        <f t="shared" si="0"/>
        <v>2658.4069999999997</v>
      </c>
      <c r="I34" s="45">
        <f t="shared" si="0"/>
        <v>2693.241</v>
      </c>
      <c r="J34" s="45">
        <f t="shared" si="0"/>
        <v>3356.1910000000007</v>
      </c>
      <c r="K34" s="45">
        <f>+K18</f>
        <v>3790.5909999999999</v>
      </c>
    </row>
    <row r="35" spans="1:11" ht="15" customHeight="1" outlineLevel="1" x14ac:dyDescent="0.25">
      <c r="B35" s="42" t="s">
        <v>67</v>
      </c>
      <c r="C35" s="43">
        <f>+C19</f>
        <v>1063.692</v>
      </c>
      <c r="D35" s="43">
        <f t="shared" si="0"/>
        <v>569.30500000000006</v>
      </c>
      <c r="E35" s="43">
        <f t="shared" si="0"/>
        <v>514.56400000000008</v>
      </c>
      <c r="F35" s="4">
        <f t="shared" si="0"/>
        <v>254.00099999999975</v>
      </c>
      <c r="G35" s="43">
        <f>+G19</f>
        <v>243.97800000000001</v>
      </c>
      <c r="H35" s="43">
        <f t="shared" si="0"/>
        <v>355.52299999999997</v>
      </c>
      <c r="I35" s="43">
        <f t="shared" si="0"/>
        <v>117.77700000000004</v>
      </c>
      <c r="J35" s="43">
        <f t="shared" si="0"/>
        <v>196.71899999999994</v>
      </c>
      <c r="K35" s="43">
        <f>+K19</f>
        <v>650.35199999999998</v>
      </c>
    </row>
    <row r="36" spans="1:11" ht="15" customHeight="1" outlineLevel="1" x14ac:dyDescent="0.25">
      <c r="B36" s="25" t="s">
        <v>68</v>
      </c>
      <c r="C36" s="46">
        <f t="shared" ref="C36:F36" si="1">+C35/C34</f>
        <v>0.23186857789835721</v>
      </c>
      <c r="D36" s="46">
        <f t="shared" si="1"/>
        <v>0.15310462416009019</v>
      </c>
      <c r="E36" s="46">
        <f t="shared" si="1"/>
        <v>0.17204135700845086</v>
      </c>
      <c r="F36" s="89">
        <f t="shared" si="1"/>
        <v>7.681778439631283E-2</v>
      </c>
      <c r="G36" s="46">
        <f t="shared" ref="G36:H36" si="2">+G35/G34</f>
        <v>8.0735553981879191E-2</v>
      </c>
      <c r="H36" s="46">
        <f t="shared" si="2"/>
        <v>0.13373535354067304</v>
      </c>
      <c r="I36" s="46">
        <f t="shared" ref="I36:K36" si="3">+I35/I34</f>
        <v>4.3730583338067425E-2</v>
      </c>
      <c r="J36" s="46">
        <f t="shared" si="3"/>
        <v>5.8613767809996477E-2</v>
      </c>
      <c r="K36" s="46">
        <f t="shared" si="3"/>
        <v>0.17157007970524912</v>
      </c>
    </row>
    <row r="37" spans="1:11" ht="15" customHeight="1" outlineLevel="1" x14ac:dyDescent="0.25">
      <c r="B37" s="42" t="s">
        <v>69</v>
      </c>
      <c r="C37" s="47">
        <f>+C21</f>
        <v>851.38400000000001</v>
      </c>
      <c r="D37" s="47">
        <f>+D21-C21</f>
        <v>432.10500000000002</v>
      </c>
      <c r="E37" s="47">
        <f>+E21-D21</f>
        <v>323.125</v>
      </c>
      <c r="F37" s="91">
        <f>+F21-E21</f>
        <v>-3.2229999999999563</v>
      </c>
      <c r="G37" s="47">
        <f>+G21</f>
        <v>-32.281999999999996</v>
      </c>
      <c r="H37" s="47">
        <f>+H21-G21</f>
        <v>100.47</v>
      </c>
      <c r="I37" s="47">
        <f>+I21-H21</f>
        <v>-143.80500000000001</v>
      </c>
      <c r="J37" s="47">
        <f>+J21-I21</f>
        <v>76.629000000000005</v>
      </c>
      <c r="K37" s="47">
        <f>+K21</f>
        <v>306.58100000000002</v>
      </c>
    </row>
    <row r="38" spans="1:11" ht="15" customHeight="1" outlineLevel="1" x14ac:dyDescent="0.25">
      <c r="B38" s="25" t="s">
        <v>68</v>
      </c>
      <c r="C38" s="46">
        <f t="shared" ref="C38:F38" si="4">+C37/C34</f>
        <v>0.18558868293210343</v>
      </c>
      <c r="D38" s="46">
        <f t="shared" si="4"/>
        <v>0.11620708341345283</v>
      </c>
      <c r="E38" s="46">
        <f t="shared" si="4"/>
        <v>0.10803488678445379</v>
      </c>
      <c r="F38" s="89">
        <f t="shared" si="4"/>
        <v>-9.7473521407125618E-4</v>
      </c>
      <c r="G38" s="46">
        <f t="shared" ref="G38:H38" si="5">+G37/G34</f>
        <v>-1.068254167852439E-2</v>
      </c>
      <c r="H38" s="46">
        <f t="shared" si="5"/>
        <v>3.7793310053727672E-2</v>
      </c>
      <c r="I38" s="46">
        <f t="shared" ref="I38:K38" si="6">+I37/I34</f>
        <v>-5.339477603378235E-2</v>
      </c>
      <c r="J38" s="46">
        <f t="shared" si="6"/>
        <v>2.2832133212919048E-2</v>
      </c>
      <c r="K38" s="46">
        <f t="shared" si="6"/>
        <v>8.0879472356685286E-2</v>
      </c>
    </row>
    <row r="39" spans="1:11" ht="15" customHeight="1" outlineLevel="1" x14ac:dyDescent="0.25">
      <c r="B39" s="42" t="s">
        <v>70</v>
      </c>
      <c r="C39" s="43">
        <f>+C23</f>
        <v>942.63599999999997</v>
      </c>
      <c r="D39" s="43">
        <f>+D23-C23</f>
        <v>454.72199999999998</v>
      </c>
      <c r="E39" s="43">
        <f>+E23-D23</f>
        <v>401.83300000000008</v>
      </c>
      <c r="F39" s="4">
        <f>+F23-E23</f>
        <v>121.85699999999997</v>
      </c>
      <c r="G39" s="43">
        <f>+G23</f>
        <v>123.64400000000001</v>
      </c>
      <c r="H39" s="43">
        <f>+H23-G23</f>
        <v>225.23000000000002</v>
      </c>
      <c r="I39" s="43">
        <f>+I23-H23</f>
        <v>27.963999999999999</v>
      </c>
      <c r="J39" s="43">
        <f>+J23-I23</f>
        <v>81.913999999999987</v>
      </c>
      <c r="K39" s="43">
        <f>+K23</f>
        <v>516.12800000000004</v>
      </c>
    </row>
    <row r="40" spans="1:11" ht="15" customHeight="1" outlineLevel="1" x14ac:dyDescent="0.25">
      <c r="B40" s="25" t="s">
        <v>68</v>
      </c>
      <c r="C40" s="46">
        <f t="shared" ref="C40:F40" si="7">+C39/C34</f>
        <v>0.20548022246646194</v>
      </c>
      <c r="D40" s="46">
        <f t="shared" si="7"/>
        <v>0.12228953005388063</v>
      </c>
      <c r="E40" s="46">
        <f t="shared" si="7"/>
        <v>0.13435042989944271</v>
      </c>
      <c r="F40" s="89">
        <f t="shared" si="7"/>
        <v>3.6853338188359494E-2</v>
      </c>
      <c r="G40" s="46">
        <f t="shared" ref="G40:H40" si="8">+G39/G34</f>
        <v>4.0915438426970756E-2</v>
      </c>
      <c r="H40" s="46">
        <f t="shared" si="8"/>
        <v>8.472367098040294E-2</v>
      </c>
      <c r="I40" s="46">
        <f t="shared" ref="I40:K40" si="9">+I39/I34</f>
        <v>1.03830292201849E-2</v>
      </c>
      <c r="J40" s="46">
        <f t="shared" si="9"/>
        <v>2.440683501028397E-2</v>
      </c>
      <c r="K40" s="46">
        <f t="shared" si="9"/>
        <v>0.13616029795881435</v>
      </c>
    </row>
    <row r="41" spans="1:11" ht="15" customHeight="1" outlineLevel="1" x14ac:dyDescent="0.25">
      <c r="B41" s="41" t="s">
        <v>71</v>
      </c>
      <c r="C41" s="48">
        <f>+C25</f>
        <v>109.654</v>
      </c>
      <c r="D41" s="48">
        <f t="shared" ref="D41:J44" si="10">+D25-C25</f>
        <v>58.427000000000021</v>
      </c>
      <c r="E41" s="48">
        <f t="shared" si="10"/>
        <v>-0.41599999999999682</v>
      </c>
      <c r="F41" s="85">
        <f t="shared" si="10"/>
        <v>63.249000000000024</v>
      </c>
      <c r="G41" s="48">
        <f>+G25</f>
        <v>91.86</v>
      </c>
      <c r="H41" s="48">
        <f t="shared" si="10"/>
        <v>66.578000000000017</v>
      </c>
      <c r="I41" s="48">
        <f t="shared" si="10"/>
        <v>215.27099999999999</v>
      </c>
      <c r="J41" s="48">
        <f t="shared" si="10"/>
        <v>-149.01200000000011</v>
      </c>
      <c r="K41" s="48">
        <f>+K25</f>
        <v>219.10699999999997</v>
      </c>
    </row>
    <row r="42" spans="1:11" ht="15" customHeight="1" outlineLevel="1" x14ac:dyDescent="0.25">
      <c r="B42" s="80" t="s">
        <v>186</v>
      </c>
      <c r="C42" s="82">
        <f>+C26</f>
        <v>971.05499999999995</v>
      </c>
      <c r="D42" s="82">
        <f t="shared" si="10"/>
        <v>489.57000000000005</v>
      </c>
      <c r="E42" s="82">
        <f t="shared" si="10"/>
        <v>333.2650000000001</v>
      </c>
      <c r="F42" s="92">
        <f t="shared" si="10"/>
        <v>-16.883000000000038</v>
      </c>
      <c r="G42" s="82">
        <f>+G26</f>
        <v>77.715999999999994</v>
      </c>
      <c r="H42" s="82">
        <f t="shared" si="10"/>
        <v>181.77100000000002</v>
      </c>
      <c r="I42" s="82">
        <f t="shared" si="10"/>
        <v>72.656999999999982</v>
      </c>
      <c r="J42" s="82">
        <f t="shared" si="10"/>
        <v>-102.67000000000002</v>
      </c>
      <c r="K42" s="82">
        <f>+K26</f>
        <v>526.34900000000005</v>
      </c>
    </row>
    <row r="43" spans="1:11" ht="15" customHeight="1" outlineLevel="1" x14ac:dyDescent="0.25">
      <c r="B43" s="41" t="s">
        <v>72</v>
      </c>
      <c r="C43" s="48">
        <f>+C27</f>
        <v>-190.15</v>
      </c>
      <c r="D43" s="48">
        <f t="shared" si="10"/>
        <v>-91.114000000000004</v>
      </c>
      <c r="E43" s="48">
        <f t="shared" si="10"/>
        <v>-76.276999999999987</v>
      </c>
      <c r="F43" s="85">
        <f t="shared" si="10"/>
        <v>-4.6070000000000277</v>
      </c>
      <c r="G43" s="48">
        <f>+G27</f>
        <v>-31.356999999999999</v>
      </c>
      <c r="H43" s="48">
        <f t="shared" si="10"/>
        <v>-86.707999999999998</v>
      </c>
      <c r="I43" s="48">
        <f t="shared" si="10"/>
        <v>-86.119</v>
      </c>
      <c r="J43" s="48">
        <f t="shared" si="10"/>
        <v>-92.688000000000017</v>
      </c>
      <c r="K43" s="48">
        <f>+K27</f>
        <v>-116.971</v>
      </c>
    </row>
    <row r="44" spans="1:11" ht="15" customHeight="1" outlineLevel="1" x14ac:dyDescent="0.25">
      <c r="B44" s="54" t="s">
        <v>73</v>
      </c>
      <c r="C44" s="55">
        <f>+C28</f>
        <v>780.90499999999997</v>
      </c>
      <c r="D44" s="55">
        <f t="shared" si="10"/>
        <v>398.45600000000013</v>
      </c>
      <c r="E44" s="55">
        <f t="shared" si="10"/>
        <v>256.98799999999983</v>
      </c>
      <c r="F44" s="55">
        <f t="shared" si="10"/>
        <v>-21.490000000000009</v>
      </c>
      <c r="G44" s="55">
        <f>+G28</f>
        <v>46.359000000000002</v>
      </c>
      <c r="H44" s="55">
        <f t="shared" si="10"/>
        <v>95.062999999999988</v>
      </c>
      <c r="I44" s="55">
        <f t="shared" si="10"/>
        <v>-13.462000000000003</v>
      </c>
      <c r="J44" s="55">
        <f t="shared" si="10"/>
        <v>-195.358</v>
      </c>
      <c r="K44" s="55">
        <f>+K28</f>
        <v>409.37799999999999</v>
      </c>
    </row>
    <row r="45" spans="1:11" ht="15" customHeight="1" x14ac:dyDescent="0.25">
      <c r="A45" s="65" t="s">
        <v>165</v>
      </c>
      <c r="B45" s="56" t="s">
        <v>68</v>
      </c>
      <c r="C45" s="57">
        <f t="shared" ref="C45:F45" si="11">+C44/C34</f>
        <v>0.17022533950026572</v>
      </c>
      <c r="D45" s="57">
        <f t="shared" si="11"/>
        <v>0.10715777329258114</v>
      </c>
      <c r="E45" s="57">
        <f t="shared" si="11"/>
        <v>8.5922381384799046E-2</v>
      </c>
      <c r="F45" s="57">
        <f t="shared" si="11"/>
        <v>-6.4992428639129964E-3</v>
      </c>
      <c r="G45" s="57">
        <f t="shared" ref="G45:H45" si="12">+G44/G34</f>
        <v>1.5340807560706037E-2</v>
      </c>
      <c r="H45" s="57">
        <f t="shared" si="12"/>
        <v>3.5759385225813803E-2</v>
      </c>
      <c r="I45" s="57">
        <f t="shared" ref="I45" si="13">+I44/I34</f>
        <v>-4.9984386840984532E-3</v>
      </c>
      <c r="J45" s="57">
        <f t="shared" ref="J45:K45" si="14">+J44/J34</f>
        <v>-5.8208248577032703E-2</v>
      </c>
      <c r="K45" s="57">
        <f t="shared" si="14"/>
        <v>0.10799846250888054</v>
      </c>
    </row>
    <row r="48" spans="1:11" ht="20.100000000000001" customHeight="1" outlineLevel="1" x14ac:dyDescent="0.25">
      <c r="B48" s="36" t="s">
        <v>152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2:11" outlineLevel="1" x14ac:dyDescent="0.25">
      <c r="B49" s="38" t="s">
        <v>65</v>
      </c>
      <c r="C49" s="39" t="s">
        <v>188</v>
      </c>
      <c r="D49" s="39" t="s">
        <v>190</v>
      </c>
      <c r="E49" s="39" t="s">
        <v>193</v>
      </c>
      <c r="F49" s="39">
        <v>2019</v>
      </c>
      <c r="G49" s="39" t="s">
        <v>195</v>
      </c>
      <c r="H49" s="39" t="s">
        <v>221</v>
      </c>
      <c r="I49" s="39" t="s">
        <v>228</v>
      </c>
      <c r="J49" s="39">
        <v>2020</v>
      </c>
      <c r="K49" s="39" t="s">
        <v>245</v>
      </c>
    </row>
    <row r="50" spans="2:11" ht="15" customHeight="1" outlineLevel="1" x14ac:dyDescent="0.25">
      <c r="B50" s="50" t="s">
        <v>197</v>
      </c>
      <c r="C50" s="3">
        <v>3324.8870000000002</v>
      </c>
      <c r="D50" s="3">
        <v>5966.3059999999996</v>
      </c>
      <c r="E50" s="3">
        <v>8220.4830000000002</v>
      </c>
      <c r="F50" s="3">
        <v>10538.494000000001</v>
      </c>
      <c r="G50" s="3">
        <v>1787.181</v>
      </c>
      <c r="H50" s="3">
        <v>3608.26</v>
      </c>
      <c r="I50" s="3">
        <v>5056.1229999999996</v>
      </c>
      <c r="J50" s="88">
        <v>7107.5069999999996</v>
      </c>
      <c r="K50" s="88">
        <v>2094.9929999999999</v>
      </c>
    </row>
    <row r="51" spans="2:11" ht="15" customHeight="1" outlineLevel="1" x14ac:dyDescent="0.25">
      <c r="B51" s="27" t="s">
        <v>198</v>
      </c>
      <c r="C51" s="3">
        <v>1171.3889999999999</v>
      </c>
      <c r="D51" s="3">
        <v>2061.1689999999999</v>
      </c>
      <c r="E51" s="3">
        <v>2632.8</v>
      </c>
      <c r="F51" s="3">
        <v>3439.4270000000001</v>
      </c>
      <c r="G51" s="3">
        <v>1114.5519999999999</v>
      </c>
      <c r="H51" s="3">
        <v>1776.453</v>
      </c>
      <c r="I51" s="3">
        <v>2791.9580000000001</v>
      </c>
      <c r="J51" s="88">
        <v>3887.8069999999998</v>
      </c>
      <c r="K51" s="88">
        <v>1560.693</v>
      </c>
    </row>
    <row r="52" spans="2:11" ht="15" customHeight="1" outlineLevel="1" x14ac:dyDescent="0.25">
      <c r="B52" s="27" t="s">
        <v>199</v>
      </c>
      <c r="C52" s="86">
        <v>4.3070000000000004</v>
      </c>
      <c r="D52" s="86">
        <v>80.406999999999996</v>
      </c>
      <c r="E52" s="3">
        <v>146.29</v>
      </c>
      <c r="F52" s="3">
        <v>205.631</v>
      </c>
      <c r="G52" s="3">
        <v>11.231</v>
      </c>
      <c r="H52" s="3">
        <v>58.661999999999999</v>
      </c>
      <c r="I52" s="3">
        <v>131.93</v>
      </c>
      <c r="J52" s="88">
        <v>200.589</v>
      </c>
      <c r="K52" s="88">
        <v>5.258</v>
      </c>
    </row>
    <row r="53" spans="2:11" ht="15" customHeight="1" outlineLevel="1" x14ac:dyDescent="0.25">
      <c r="B53" s="27" t="s">
        <v>200</v>
      </c>
      <c r="C53" s="86">
        <v>76.504000000000005</v>
      </c>
      <c r="D53" s="86">
        <v>177.166</v>
      </c>
      <c r="E53" s="3">
        <v>265.68599999999998</v>
      </c>
      <c r="F53" s="3">
        <v>377.44900000000001</v>
      </c>
      <c r="G53" s="3">
        <v>97.620999999999995</v>
      </c>
      <c r="H53" s="3">
        <v>213.54400000000001</v>
      </c>
      <c r="I53" s="3">
        <v>357.84699999999998</v>
      </c>
      <c r="J53" s="88">
        <v>486.24400000000003</v>
      </c>
      <c r="K53" s="88">
        <v>118.176</v>
      </c>
    </row>
    <row r="54" spans="2:11" ht="15" customHeight="1" outlineLevel="1" x14ac:dyDescent="0.25">
      <c r="B54" s="27" t="s">
        <v>201</v>
      </c>
      <c r="C54" s="86">
        <v>10.391</v>
      </c>
      <c r="D54" s="86">
        <v>20.835000000000001</v>
      </c>
      <c r="E54" s="3">
        <v>31.556000000000001</v>
      </c>
      <c r="F54" s="3">
        <v>42.353000000000002</v>
      </c>
      <c r="G54" s="3">
        <v>11.355</v>
      </c>
      <c r="H54" s="3">
        <v>23.428000000000001</v>
      </c>
      <c r="I54" s="3">
        <v>35.729999999999997</v>
      </c>
      <c r="J54" s="88">
        <v>47.631999999999998</v>
      </c>
      <c r="K54" s="88">
        <v>11.471</v>
      </c>
    </row>
    <row r="55" spans="2:11" ht="15" customHeight="1" outlineLevel="1" x14ac:dyDescent="0.25">
      <c r="B55" s="51" t="s">
        <v>77</v>
      </c>
      <c r="C55" s="52">
        <v>4587.4780000000001</v>
      </c>
      <c r="D55" s="52">
        <v>8305.8829999999998</v>
      </c>
      <c r="E55" s="52">
        <v>11296.815000000001</v>
      </c>
      <c r="F55" s="52">
        <v>14603.353999999999</v>
      </c>
      <c r="G55" s="52">
        <v>3021.94</v>
      </c>
      <c r="H55" s="52">
        <v>5680.3469999999998</v>
      </c>
      <c r="I55" s="52">
        <v>8373.5879999999997</v>
      </c>
      <c r="J55" s="97">
        <v>11729.779</v>
      </c>
      <c r="K55" s="97">
        <v>3790.5909999999999</v>
      </c>
    </row>
    <row r="56" spans="2:11" ht="15" customHeight="1" outlineLevel="1" x14ac:dyDescent="0.25">
      <c r="B56" s="50" t="s">
        <v>197</v>
      </c>
      <c r="C56" s="3">
        <v>808.57500000000005</v>
      </c>
      <c r="D56" s="3">
        <v>1083.232</v>
      </c>
      <c r="E56" s="3">
        <v>1407.6569999999999</v>
      </c>
      <c r="F56" s="88">
        <v>1451.404</v>
      </c>
      <c r="G56" s="3">
        <v>-46.23</v>
      </c>
      <c r="H56" s="3">
        <v>44.726999999999997</v>
      </c>
      <c r="I56" s="3">
        <v>-165.334</v>
      </c>
      <c r="J56" s="88">
        <v>-343.92399999999998</v>
      </c>
      <c r="K56" s="88">
        <v>108.807</v>
      </c>
    </row>
    <row r="57" spans="2:11" ht="15" customHeight="1" outlineLevel="1" x14ac:dyDescent="0.25">
      <c r="B57" s="27" t="s">
        <v>198</v>
      </c>
      <c r="C57" s="3">
        <v>150.38499999999999</v>
      </c>
      <c r="D57" s="3">
        <v>314.87200000000001</v>
      </c>
      <c r="E57" s="3">
        <v>395.22699999999998</v>
      </c>
      <c r="F57" s="88">
        <v>457.57400000000001</v>
      </c>
      <c r="G57" s="3">
        <v>174.47800000000001</v>
      </c>
      <c r="H57" s="3">
        <v>280.892</v>
      </c>
      <c r="I57" s="3">
        <v>477.90199999999999</v>
      </c>
      <c r="J57" s="88">
        <v>735.76800000000003</v>
      </c>
      <c r="K57" s="88">
        <v>390.637</v>
      </c>
    </row>
    <row r="58" spans="2:11" ht="15" customHeight="1" outlineLevel="1" x14ac:dyDescent="0.25">
      <c r="B58" s="27" t="s">
        <v>199</v>
      </c>
      <c r="C58" s="3">
        <v>-2.7970000000000002</v>
      </c>
      <c r="D58" s="3">
        <v>5.516</v>
      </c>
      <c r="E58" s="3">
        <v>-0.98499999999999999</v>
      </c>
      <c r="F58" s="88">
        <v>-7.9329999999999998</v>
      </c>
      <c r="G58" s="3">
        <v>-7.9269999999999996</v>
      </c>
      <c r="H58" s="3">
        <v>-6.0750000000000002</v>
      </c>
      <c r="I58" s="3">
        <v>-11.526</v>
      </c>
      <c r="J58" s="88">
        <v>-28.100999999999999</v>
      </c>
      <c r="K58" s="88">
        <v>-11.398999999999999</v>
      </c>
    </row>
    <row r="59" spans="2:11" ht="15" customHeight="1" outlineLevel="1" x14ac:dyDescent="0.25">
      <c r="B59" s="27" t="s">
        <v>200</v>
      </c>
      <c r="C59" s="3">
        <v>13.757</v>
      </c>
      <c r="D59" s="3">
        <v>45.43</v>
      </c>
      <c r="E59" s="3">
        <v>64.617999999999995</v>
      </c>
      <c r="F59" s="88">
        <v>103.712</v>
      </c>
      <c r="G59" s="3">
        <v>25.042999999999999</v>
      </c>
      <c r="H59" s="3">
        <v>74.86</v>
      </c>
      <c r="I59" s="3">
        <v>133.755</v>
      </c>
      <c r="J59" s="88">
        <v>175.828</v>
      </c>
      <c r="K59" s="88">
        <v>39.512999999999998</v>
      </c>
    </row>
    <row r="60" spans="2:11" ht="15" customHeight="1" outlineLevel="1" x14ac:dyDescent="0.25">
      <c r="B60" s="27" t="s">
        <v>201</v>
      </c>
      <c r="C60" s="86">
        <v>-27.283999999999999</v>
      </c>
      <c r="D60" s="86">
        <v>-51.692</v>
      </c>
      <c r="E60" s="3">
        <v>-67.325999999999993</v>
      </c>
      <c r="F60" s="88">
        <v>-83.709000000000003</v>
      </c>
      <c r="G60" s="3">
        <v>-21.72</v>
      </c>
      <c r="H60" s="3">
        <v>-45.53</v>
      </c>
      <c r="I60" s="3">
        <v>-57.959000000000003</v>
      </c>
      <c r="J60" s="88">
        <v>-80.819000000000003</v>
      </c>
      <c r="K60" s="88">
        <v>-11.43</v>
      </c>
    </row>
    <row r="61" spans="2:11" ht="15" customHeight="1" outlineLevel="1" x14ac:dyDescent="0.25">
      <c r="B61" s="51" t="s">
        <v>78</v>
      </c>
      <c r="C61" s="52">
        <v>942.63599999999997</v>
      </c>
      <c r="D61" s="52">
        <v>1397.3579999999999</v>
      </c>
      <c r="E61" s="52">
        <v>1799.191</v>
      </c>
      <c r="F61" s="52">
        <v>1921.048</v>
      </c>
      <c r="G61" s="52">
        <v>123.64400000000001</v>
      </c>
      <c r="H61" s="52">
        <v>348.87400000000002</v>
      </c>
      <c r="I61" s="52">
        <v>376.83800000000002</v>
      </c>
      <c r="J61" s="52">
        <v>458.75799999999879</v>
      </c>
      <c r="K61" s="52">
        <v>516.12800000000004</v>
      </c>
    </row>
    <row r="62" spans="2:11" ht="15" customHeight="1" outlineLevel="1" x14ac:dyDescent="0.25">
      <c r="B62" s="50" t="s">
        <v>197</v>
      </c>
      <c r="C62" s="86">
        <v>633.46900000000005</v>
      </c>
      <c r="D62" s="86">
        <v>861.904</v>
      </c>
      <c r="E62" s="3">
        <v>1066.9749999999999</v>
      </c>
      <c r="F62" s="3">
        <v>990.73699999999997</v>
      </c>
      <c r="G62" s="3">
        <v>-90.34</v>
      </c>
      <c r="H62" s="3">
        <v>-107.742</v>
      </c>
      <c r="I62" s="3">
        <v>-377.911</v>
      </c>
      <c r="J62" s="88">
        <v>-666.65200000000004</v>
      </c>
      <c r="K62" s="88">
        <v>11.666</v>
      </c>
    </row>
    <row r="63" spans="2:11" ht="15" customHeight="1" outlineLevel="1" x14ac:dyDescent="0.25">
      <c r="B63" s="27" t="s">
        <v>198</v>
      </c>
      <c r="C63" s="3">
        <v>105.69799999999999</v>
      </c>
      <c r="D63" s="3">
        <v>235.893</v>
      </c>
      <c r="E63" s="3">
        <v>292.94499999999999</v>
      </c>
      <c r="F63" s="3">
        <v>323.363</v>
      </c>
      <c r="G63" s="3">
        <v>89.326999999999998</v>
      </c>
      <c r="H63" s="3">
        <v>134.59399999999999</v>
      </c>
      <c r="I63" s="3">
        <v>257.05</v>
      </c>
      <c r="J63" s="88">
        <v>450.57</v>
      </c>
      <c r="K63" s="88">
        <v>310.35599999999999</v>
      </c>
    </row>
    <row r="64" spans="2:11" ht="15" customHeight="1" outlineLevel="1" x14ac:dyDescent="0.25">
      <c r="B64" s="27" t="s">
        <v>199</v>
      </c>
      <c r="C64" s="3">
        <v>-2.2589999999999999</v>
      </c>
      <c r="D64" s="3">
        <v>-2.7240000000000002</v>
      </c>
      <c r="E64" s="3">
        <v>-10.499000000000001</v>
      </c>
      <c r="F64" s="3">
        <v>-19.419</v>
      </c>
      <c r="G64" s="3">
        <v>-14.88</v>
      </c>
      <c r="H64" s="3">
        <v>-18.693999999999999</v>
      </c>
      <c r="I64" s="3">
        <v>-36.795999999999999</v>
      </c>
      <c r="J64" s="88">
        <v>-66.162000000000006</v>
      </c>
      <c r="K64" s="88">
        <v>-30.324000000000002</v>
      </c>
    </row>
    <row r="65" spans="1:11" ht="15" customHeight="1" outlineLevel="1" x14ac:dyDescent="0.25">
      <c r="B65" s="27" t="s">
        <v>200</v>
      </c>
      <c r="C65" s="3">
        <v>12.826000000000001</v>
      </c>
      <c r="D65" s="3">
        <v>37.670999999999999</v>
      </c>
      <c r="E65" s="3">
        <v>50.703000000000003</v>
      </c>
      <c r="F65" s="3">
        <v>79.512</v>
      </c>
      <c r="G65" s="3">
        <v>18.044</v>
      </c>
      <c r="H65" s="3">
        <v>54.655999999999999</v>
      </c>
      <c r="I65" s="3">
        <v>103.715</v>
      </c>
      <c r="J65" s="88">
        <v>131.721</v>
      </c>
      <c r="K65" s="88">
        <v>32.026000000000003</v>
      </c>
    </row>
    <row r="66" spans="1:11" ht="15" customHeight="1" outlineLevel="1" x14ac:dyDescent="0.25">
      <c r="B66" s="27" t="s">
        <v>201</v>
      </c>
      <c r="C66" s="3">
        <v>31.170999999999999</v>
      </c>
      <c r="D66" s="3">
        <v>46.616999999999997</v>
      </c>
      <c r="E66" s="3">
        <v>36.225000000000001</v>
      </c>
      <c r="F66" s="3">
        <v>40.665999999999997</v>
      </c>
      <c r="G66" s="3">
        <v>44.207999999999998</v>
      </c>
      <c r="H66" s="3">
        <v>78.608000000000004</v>
      </c>
      <c r="I66" s="3">
        <v>181.90199999999999</v>
      </c>
      <c r="J66" s="88">
        <v>83.125</v>
      </c>
      <c r="K66" s="88">
        <v>85.653999999999996</v>
      </c>
    </row>
    <row r="67" spans="1:11" ht="15" customHeight="1" outlineLevel="1" x14ac:dyDescent="0.25">
      <c r="A67" s="65" t="s">
        <v>165</v>
      </c>
      <c r="B67" s="51" t="s">
        <v>79</v>
      </c>
      <c r="C67" s="52">
        <v>780.90499999999997</v>
      </c>
      <c r="D67" s="52">
        <v>1179.3610000000001</v>
      </c>
      <c r="E67" s="52">
        <v>1436.3489999999999</v>
      </c>
      <c r="F67" s="52">
        <v>1414.8589999999999</v>
      </c>
      <c r="G67" s="52">
        <v>46.359000000000002</v>
      </c>
      <c r="H67" s="52">
        <v>141.422</v>
      </c>
      <c r="I67" s="52">
        <v>127.96</v>
      </c>
      <c r="J67" s="52">
        <v>-67.397999999999996</v>
      </c>
      <c r="K67" s="52">
        <v>409.37799999999999</v>
      </c>
    </row>
    <row r="68" spans="1:11" ht="15" customHeight="1" x14ac:dyDescent="0.25">
      <c r="B68" s="60"/>
      <c r="C68" s="86"/>
      <c r="D68" s="86"/>
      <c r="E68" s="86"/>
      <c r="F68" s="86"/>
    </row>
    <row r="69" spans="1:11" ht="15" customHeight="1" x14ac:dyDescent="0.25">
      <c r="B69" s="60"/>
      <c r="C69" s="86"/>
      <c r="D69" s="86"/>
      <c r="E69" s="86"/>
      <c r="F69" s="86"/>
    </row>
    <row r="70" spans="1:11" ht="20.100000000000001" customHeight="1" outlineLevel="1" x14ac:dyDescent="0.25">
      <c r="B70" s="36" t="s">
        <v>243</v>
      </c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5" customHeight="1" outlineLevel="1" x14ac:dyDescent="0.25">
      <c r="B71" s="50" t="s">
        <v>197</v>
      </c>
      <c r="C71" s="122">
        <f t="shared" ref="C71:J76" si="15">IFERROR(C56/C50,"n.m.")</f>
        <v>0.24318871588718655</v>
      </c>
      <c r="D71" s="122">
        <f t="shared" si="15"/>
        <v>0.1815582372074111</v>
      </c>
      <c r="E71" s="122">
        <f t="shared" si="15"/>
        <v>0.1712377484388691</v>
      </c>
      <c r="F71" s="122">
        <f t="shared" si="15"/>
        <v>0.13772404292302107</v>
      </c>
      <c r="G71" s="122">
        <f t="shared" si="15"/>
        <v>-2.5867553426317757E-2</v>
      </c>
      <c r="H71" s="122">
        <f t="shared" si="15"/>
        <v>1.2395725363471588E-2</v>
      </c>
      <c r="I71" s="122">
        <f t="shared" si="15"/>
        <v>-3.269975829306368E-2</v>
      </c>
      <c r="J71" s="122">
        <f>IFERROR(J56/J50,"n.m.")</f>
        <v>-4.8388837323691695E-2</v>
      </c>
      <c r="K71" s="122">
        <f t="shared" ref="K71" si="16">IFERROR(K56/K50,"n.m.")</f>
        <v>5.1936689048603026E-2</v>
      </c>
    </row>
    <row r="72" spans="1:11" ht="15" customHeight="1" outlineLevel="1" x14ac:dyDescent="0.25">
      <c r="B72" s="27" t="s">
        <v>198</v>
      </c>
      <c r="C72" s="122">
        <f t="shared" si="15"/>
        <v>0.12838177582340282</v>
      </c>
      <c r="D72" s="122">
        <f t="shared" si="15"/>
        <v>0.15276379569069787</v>
      </c>
      <c r="E72" s="122">
        <f t="shared" si="15"/>
        <v>0.15011660589486475</v>
      </c>
      <c r="F72" s="122">
        <f t="shared" si="15"/>
        <v>0.13303785775944657</v>
      </c>
      <c r="G72" s="122">
        <f t="shared" si="15"/>
        <v>0.15654541017377388</v>
      </c>
      <c r="H72" s="122">
        <f t="shared" si="15"/>
        <v>0.15811957873357751</v>
      </c>
      <c r="I72" s="122">
        <f t="shared" si="15"/>
        <v>0.171170913029494</v>
      </c>
      <c r="J72" s="122">
        <f t="shared" ref="J72:K76" si="17">IFERROR(J57/J51,"n.m.")</f>
        <v>0.18925013510187108</v>
      </c>
      <c r="K72" s="122">
        <f t="shared" si="17"/>
        <v>0.25029714364067757</v>
      </c>
    </row>
    <row r="73" spans="1:11" ht="15" customHeight="1" outlineLevel="1" x14ac:dyDescent="0.25">
      <c r="B73" s="27" t="s">
        <v>199</v>
      </c>
      <c r="C73" s="122">
        <f t="shared" si="15"/>
        <v>-0.64940794056187601</v>
      </c>
      <c r="D73" s="122">
        <f t="shared" si="15"/>
        <v>6.860099245090602E-2</v>
      </c>
      <c r="E73" s="122">
        <f t="shared" si="15"/>
        <v>-6.7332011757468046E-3</v>
      </c>
      <c r="F73" s="122">
        <f t="shared" si="15"/>
        <v>-3.8578813505745727E-2</v>
      </c>
      <c r="G73" s="122">
        <f t="shared" si="15"/>
        <v>-0.70581426409046388</v>
      </c>
      <c r="H73" s="122">
        <f t="shared" si="15"/>
        <v>-0.10355937404111691</v>
      </c>
      <c r="I73" s="122">
        <f t="shared" si="15"/>
        <v>-8.7364511483362384E-2</v>
      </c>
      <c r="J73" s="122">
        <f t="shared" si="17"/>
        <v>-0.14009242780012862</v>
      </c>
      <c r="K73" s="122">
        <f t="shared" si="17"/>
        <v>-2.1679345758843667</v>
      </c>
    </row>
    <row r="74" spans="1:11" ht="15" customHeight="1" outlineLevel="1" x14ac:dyDescent="0.25">
      <c r="B74" s="27" t="s">
        <v>200</v>
      </c>
      <c r="C74" s="122">
        <f t="shared" si="15"/>
        <v>0.17982066297187074</v>
      </c>
      <c r="D74" s="122">
        <f t="shared" si="15"/>
        <v>0.25642617658015648</v>
      </c>
      <c r="E74" s="122">
        <f t="shared" si="15"/>
        <v>0.24321191180566534</v>
      </c>
      <c r="F74" s="122">
        <f t="shared" si="15"/>
        <v>0.27477089620054629</v>
      </c>
      <c r="G74" s="122">
        <f t="shared" si="15"/>
        <v>0.25653291812212536</v>
      </c>
      <c r="H74" s="122">
        <f t="shared" si="15"/>
        <v>0.3505600719289701</v>
      </c>
      <c r="I74" s="122">
        <f t="shared" si="15"/>
        <v>0.37377706114624409</v>
      </c>
      <c r="J74" s="122">
        <f t="shared" si="17"/>
        <v>0.36160446195737117</v>
      </c>
      <c r="K74" s="122">
        <f t="shared" si="17"/>
        <v>0.33435722989439476</v>
      </c>
    </row>
    <row r="75" spans="1:11" ht="15" customHeight="1" outlineLevel="1" x14ac:dyDescent="0.25">
      <c r="B75" s="27" t="s">
        <v>201</v>
      </c>
      <c r="C75" s="122">
        <f t="shared" si="15"/>
        <v>-2.625733808103166</v>
      </c>
      <c r="D75" s="122">
        <f t="shared" si="15"/>
        <v>-2.4810175185985122</v>
      </c>
      <c r="E75" s="122">
        <f t="shared" si="15"/>
        <v>-2.1335403726708071</v>
      </c>
      <c r="F75" s="122">
        <f t="shared" si="15"/>
        <v>-1.9764597549170071</v>
      </c>
      <c r="G75" s="122">
        <f t="shared" si="15"/>
        <v>-1.9128137384412152</v>
      </c>
      <c r="H75" s="122">
        <f t="shared" si="15"/>
        <v>-1.943401058562404</v>
      </c>
      <c r="I75" s="122">
        <f t="shared" si="15"/>
        <v>-1.6221382591659672</v>
      </c>
      <c r="J75" s="122">
        <f t="shared" si="17"/>
        <v>-1.6967374874034264</v>
      </c>
      <c r="K75" s="122">
        <f t="shared" si="17"/>
        <v>-0.99642576933135729</v>
      </c>
    </row>
    <row r="76" spans="1:11" ht="15" customHeight="1" outlineLevel="1" x14ac:dyDescent="0.25">
      <c r="B76" s="51" t="s">
        <v>241</v>
      </c>
      <c r="C76" s="123">
        <f t="shared" si="15"/>
        <v>0.20548022246646194</v>
      </c>
      <c r="D76" s="123">
        <f t="shared" si="15"/>
        <v>0.16823713986821148</v>
      </c>
      <c r="E76" s="123">
        <f t="shared" si="15"/>
        <v>0.15926533275086827</v>
      </c>
      <c r="F76" s="123">
        <f t="shared" si="15"/>
        <v>0.13154841004333662</v>
      </c>
      <c r="G76" s="123">
        <f t="shared" si="15"/>
        <v>4.0915438426970756E-2</v>
      </c>
      <c r="H76" s="123">
        <f t="shared" si="15"/>
        <v>6.141772676915689E-2</v>
      </c>
      <c r="I76" s="123">
        <f t="shared" si="15"/>
        <v>4.5003169489590371E-2</v>
      </c>
      <c r="J76" s="123">
        <f t="shared" si="15"/>
        <v>3.9110540786829726E-2</v>
      </c>
      <c r="K76" s="123">
        <f t="shared" si="17"/>
        <v>0.13616029795881435</v>
      </c>
    </row>
    <row r="77" spans="1:11" ht="15" customHeight="1" outlineLevel="1" x14ac:dyDescent="0.25">
      <c r="B77" s="50" t="s">
        <v>197</v>
      </c>
      <c r="C77" s="122">
        <f t="shared" ref="C77:K82" si="18">IFERROR(C62/C50,"n.m.")</f>
        <v>0.19052346741408055</v>
      </c>
      <c r="D77" s="122">
        <f t="shared" si="18"/>
        <v>0.14446191663652519</v>
      </c>
      <c r="E77" s="122">
        <f t="shared" si="18"/>
        <v>0.12979468481353224</v>
      </c>
      <c r="F77" s="122">
        <f t="shared" si="18"/>
        <v>9.401125056388511E-2</v>
      </c>
      <c r="G77" s="122">
        <f t="shared" si="18"/>
        <v>-5.0548881170961422E-2</v>
      </c>
      <c r="H77" s="122">
        <f t="shared" si="18"/>
        <v>-2.9859821631478885E-2</v>
      </c>
      <c r="I77" s="122">
        <f t="shared" si="18"/>
        <v>-7.4743237061281942E-2</v>
      </c>
      <c r="J77" s="122">
        <f>IFERROR(J62/J50,"n.m.")</f>
        <v>-9.3795475685074958E-2</v>
      </c>
      <c r="K77" s="122">
        <f t="shared" ref="K77" si="19">IFERROR(K62/K50,"n.m.")</f>
        <v>5.5685150260645268E-3</v>
      </c>
    </row>
    <row r="78" spans="1:11" ht="15" customHeight="1" outlineLevel="1" x14ac:dyDescent="0.25">
      <c r="B78" s="27" t="s">
        <v>198</v>
      </c>
      <c r="C78" s="122">
        <f t="shared" si="18"/>
        <v>9.0233048116381498E-2</v>
      </c>
      <c r="D78" s="122">
        <f t="shared" si="18"/>
        <v>0.11444621959674341</v>
      </c>
      <c r="E78" s="122">
        <f t="shared" si="18"/>
        <v>0.11126747189304162</v>
      </c>
      <c r="F78" s="122">
        <f t="shared" si="18"/>
        <v>9.4016532404961634E-2</v>
      </c>
      <c r="G78" s="122">
        <f t="shared" si="18"/>
        <v>8.014610354653709E-2</v>
      </c>
      <c r="H78" s="122">
        <f t="shared" si="18"/>
        <v>7.576558456654918E-2</v>
      </c>
      <c r="I78" s="122">
        <f t="shared" si="18"/>
        <v>9.2068003888310643E-2</v>
      </c>
      <c r="J78" s="122">
        <f t="shared" ref="J78:K81" si="20">IFERROR(J63/J51,"n.m.")</f>
        <v>0.11589309860288848</v>
      </c>
      <c r="K78" s="122">
        <f t="shared" si="20"/>
        <v>0.19885781508599065</v>
      </c>
    </row>
    <row r="79" spans="1:11" ht="15" customHeight="1" outlineLevel="1" x14ac:dyDescent="0.25">
      <c r="B79" s="27" t="s">
        <v>199</v>
      </c>
      <c r="C79" s="122">
        <f t="shared" si="18"/>
        <v>-0.52449500812630589</v>
      </c>
      <c r="D79" s="122">
        <f t="shared" si="18"/>
        <v>-3.3877647468503989E-2</v>
      </c>
      <c r="E79" s="122">
        <f t="shared" si="18"/>
        <v>-7.1768405222503259E-2</v>
      </c>
      <c r="F79" s="122">
        <f t="shared" si="18"/>
        <v>-9.44361501913622E-2</v>
      </c>
      <c r="G79" s="122">
        <f t="shared" si="18"/>
        <v>-1.3249042827887099</v>
      </c>
      <c r="H79" s="122">
        <f t="shared" si="18"/>
        <v>-0.31867307626743036</v>
      </c>
      <c r="I79" s="122">
        <f t="shared" si="18"/>
        <v>-0.27890548017888273</v>
      </c>
      <c r="J79" s="122">
        <f t="shared" si="20"/>
        <v>-0.32983862524864277</v>
      </c>
      <c r="K79" s="122">
        <f t="shared" si="20"/>
        <v>-5.7672118676302784</v>
      </c>
    </row>
    <row r="80" spans="1:11" ht="15" customHeight="1" outlineLevel="1" x14ac:dyDescent="0.25">
      <c r="B80" s="27" t="s">
        <v>200</v>
      </c>
      <c r="C80" s="122">
        <f t="shared" si="18"/>
        <v>0.1676513646345289</v>
      </c>
      <c r="D80" s="122">
        <f t="shared" si="18"/>
        <v>0.21263109174446565</v>
      </c>
      <c r="E80" s="122">
        <f t="shared" si="18"/>
        <v>0.19083805695445002</v>
      </c>
      <c r="F80" s="122">
        <f t="shared" si="18"/>
        <v>0.21065627409265886</v>
      </c>
      <c r="G80" s="122">
        <f t="shared" si="18"/>
        <v>0.18483727886417883</v>
      </c>
      <c r="H80" s="122">
        <f t="shared" si="18"/>
        <v>0.2559472520885625</v>
      </c>
      <c r="I80" s="122">
        <f t="shared" si="18"/>
        <v>0.28983057004809321</v>
      </c>
      <c r="J80" s="122">
        <f t="shared" si="20"/>
        <v>0.27089485937101537</v>
      </c>
      <c r="K80" s="122">
        <f t="shared" si="20"/>
        <v>0.27100257243433523</v>
      </c>
    </row>
    <row r="81" spans="1:11" ht="15" customHeight="1" outlineLevel="1" x14ac:dyDescent="0.25">
      <c r="B81" s="27" t="s">
        <v>201</v>
      </c>
      <c r="C81" s="122">
        <f t="shared" si="18"/>
        <v>2.9998075257434316</v>
      </c>
      <c r="D81" s="122">
        <f t="shared" si="18"/>
        <v>2.2374370050395966</v>
      </c>
      <c r="E81" s="122">
        <f t="shared" si="18"/>
        <v>1.1479591836734695</v>
      </c>
      <c r="F81" s="122">
        <f t="shared" si="18"/>
        <v>0.96016811087762366</v>
      </c>
      <c r="G81" s="122">
        <f t="shared" si="18"/>
        <v>3.8932628797886393</v>
      </c>
      <c r="H81" s="122">
        <f t="shared" si="18"/>
        <v>3.3553013488133856</v>
      </c>
      <c r="I81" s="122">
        <f t="shared" si="18"/>
        <v>5.0910159529806887</v>
      </c>
      <c r="J81" s="122">
        <f t="shared" si="20"/>
        <v>1.7451503191132012</v>
      </c>
      <c r="K81" s="122">
        <f t="shared" si="20"/>
        <v>7.4670037485833838</v>
      </c>
    </row>
    <row r="82" spans="1:11" ht="15" customHeight="1" outlineLevel="1" x14ac:dyDescent="0.25">
      <c r="A82" s="65" t="s">
        <v>165</v>
      </c>
      <c r="B82" s="51" t="s">
        <v>242</v>
      </c>
      <c r="C82" s="123">
        <f t="shared" si="18"/>
        <v>0.17022533950026572</v>
      </c>
      <c r="D82" s="123">
        <f t="shared" si="18"/>
        <v>0.14199104417916797</v>
      </c>
      <c r="E82" s="123">
        <f t="shared" si="18"/>
        <v>0.12714636824627118</v>
      </c>
      <c r="F82" s="123">
        <f t="shared" si="18"/>
        <v>9.6885893473513007E-2</v>
      </c>
      <c r="G82" s="123">
        <f t="shared" si="18"/>
        <v>1.5340807560706037E-2</v>
      </c>
      <c r="H82" s="123">
        <f t="shared" si="18"/>
        <v>2.4896718457516769E-2</v>
      </c>
      <c r="I82" s="123">
        <f t="shared" si="18"/>
        <v>1.5281382365600027E-2</v>
      </c>
      <c r="J82" s="123">
        <f t="shared" si="18"/>
        <v>-5.7458883070175487E-3</v>
      </c>
      <c r="K82" s="123">
        <f t="shared" si="18"/>
        <v>0.10799846250888054</v>
      </c>
    </row>
    <row r="83" spans="1:11" ht="15" customHeight="1" x14ac:dyDescent="0.25">
      <c r="B83" s="60"/>
      <c r="C83" s="86"/>
      <c r="D83" s="86"/>
      <c r="E83" s="86"/>
      <c r="F83" s="86"/>
    </row>
    <row r="84" spans="1:11" ht="15" customHeight="1" x14ac:dyDescent="0.25">
      <c r="B84" s="60"/>
      <c r="C84" s="86"/>
      <c r="D84" s="86"/>
      <c r="E84" s="86"/>
      <c r="F84" s="86"/>
    </row>
    <row r="85" spans="1:11" ht="20.100000000000001" customHeight="1" outlineLevel="1" x14ac:dyDescent="0.25">
      <c r="B85" s="36" t="s">
        <v>153</v>
      </c>
      <c r="C85" s="37"/>
      <c r="D85" s="37"/>
      <c r="E85" s="37"/>
      <c r="F85" s="37"/>
      <c r="G85" s="37"/>
      <c r="H85" s="37"/>
      <c r="I85" s="37"/>
      <c r="J85" s="37"/>
      <c r="K85" s="37"/>
    </row>
    <row r="86" spans="1:11" outlineLevel="1" x14ac:dyDescent="0.25">
      <c r="B86" s="38" t="s">
        <v>65</v>
      </c>
      <c r="C86" s="39" t="s">
        <v>187</v>
      </c>
      <c r="D86" s="39" t="s">
        <v>189</v>
      </c>
      <c r="E86" s="39" t="s">
        <v>192</v>
      </c>
      <c r="F86" s="39" t="s">
        <v>194</v>
      </c>
      <c r="G86" s="39" t="s">
        <v>196</v>
      </c>
      <c r="H86" s="39" t="s">
        <v>220</v>
      </c>
      <c r="I86" s="39" t="s">
        <v>229</v>
      </c>
      <c r="J86" s="39" t="s">
        <v>233</v>
      </c>
      <c r="K86" s="39" t="s">
        <v>244</v>
      </c>
    </row>
    <row r="87" spans="1:11" ht="15" customHeight="1" outlineLevel="1" x14ac:dyDescent="0.25">
      <c r="B87" s="50" t="s">
        <v>197</v>
      </c>
      <c r="C87" s="45">
        <f>C50</f>
        <v>3324.8870000000002</v>
      </c>
      <c r="D87" s="45">
        <f t="shared" ref="D87:F91" si="21">D50-C50</f>
        <v>2641.4189999999994</v>
      </c>
      <c r="E87" s="45">
        <f t="shared" si="21"/>
        <v>2254.1770000000006</v>
      </c>
      <c r="F87" s="45">
        <f t="shared" si="21"/>
        <v>2318.0110000000004</v>
      </c>
      <c r="G87" s="45">
        <f>G50</f>
        <v>1787.181</v>
      </c>
      <c r="H87" s="45">
        <f t="shared" ref="H87:J91" si="22">H50-G50</f>
        <v>1821.0790000000002</v>
      </c>
      <c r="I87" s="45">
        <f t="shared" si="22"/>
        <v>1447.8629999999994</v>
      </c>
      <c r="J87" s="45">
        <f t="shared" si="22"/>
        <v>2051.384</v>
      </c>
      <c r="K87" s="45">
        <f>K50</f>
        <v>2094.9929999999999</v>
      </c>
    </row>
    <row r="88" spans="1:11" ht="15" customHeight="1" outlineLevel="1" x14ac:dyDescent="0.25">
      <c r="B88" s="27" t="s">
        <v>198</v>
      </c>
      <c r="C88" s="13">
        <f>C51</f>
        <v>1171.3889999999999</v>
      </c>
      <c r="D88" s="13">
        <f t="shared" si="21"/>
        <v>889.78</v>
      </c>
      <c r="E88" s="13">
        <f t="shared" si="21"/>
        <v>571.63100000000031</v>
      </c>
      <c r="F88" s="13">
        <f t="shared" si="21"/>
        <v>806.62699999999995</v>
      </c>
      <c r="G88" s="13">
        <f>G51</f>
        <v>1114.5519999999999</v>
      </c>
      <c r="H88" s="13">
        <f t="shared" si="22"/>
        <v>661.90100000000007</v>
      </c>
      <c r="I88" s="13">
        <f t="shared" si="22"/>
        <v>1015.5050000000001</v>
      </c>
      <c r="J88" s="13">
        <f t="shared" si="22"/>
        <v>1095.8489999999997</v>
      </c>
      <c r="K88" s="13">
        <f>K51</f>
        <v>1560.693</v>
      </c>
    </row>
    <row r="89" spans="1:11" ht="15" customHeight="1" outlineLevel="1" x14ac:dyDescent="0.25">
      <c r="B89" s="27" t="s">
        <v>199</v>
      </c>
      <c r="C89" s="15">
        <f>C52</f>
        <v>4.3070000000000004</v>
      </c>
      <c r="D89" s="15">
        <f t="shared" si="21"/>
        <v>76.099999999999994</v>
      </c>
      <c r="E89" s="15">
        <f t="shared" si="21"/>
        <v>65.882999999999996</v>
      </c>
      <c r="F89" s="15">
        <f t="shared" si="21"/>
        <v>59.341000000000008</v>
      </c>
      <c r="G89" s="15">
        <f>G52</f>
        <v>11.231</v>
      </c>
      <c r="H89" s="15">
        <f t="shared" si="22"/>
        <v>47.430999999999997</v>
      </c>
      <c r="I89" s="15">
        <f t="shared" si="22"/>
        <v>73.268000000000001</v>
      </c>
      <c r="J89" s="15">
        <f t="shared" si="22"/>
        <v>68.658999999999992</v>
      </c>
      <c r="K89" s="15">
        <f>K52</f>
        <v>5.258</v>
      </c>
    </row>
    <row r="90" spans="1:11" ht="15" customHeight="1" outlineLevel="1" x14ac:dyDescent="0.25">
      <c r="B90" s="27" t="s">
        <v>200</v>
      </c>
      <c r="C90" s="15">
        <f>C53</f>
        <v>76.504000000000005</v>
      </c>
      <c r="D90" s="15">
        <f t="shared" si="21"/>
        <v>100.66199999999999</v>
      </c>
      <c r="E90" s="15">
        <f t="shared" si="21"/>
        <v>88.519999999999982</v>
      </c>
      <c r="F90" s="15">
        <f t="shared" si="21"/>
        <v>111.76300000000003</v>
      </c>
      <c r="G90" s="15">
        <f>G53</f>
        <v>97.620999999999995</v>
      </c>
      <c r="H90" s="15">
        <f t="shared" si="22"/>
        <v>115.92300000000002</v>
      </c>
      <c r="I90" s="15">
        <f t="shared" si="22"/>
        <v>144.30299999999997</v>
      </c>
      <c r="J90" s="15">
        <f t="shared" si="22"/>
        <v>128.39700000000005</v>
      </c>
      <c r="K90" s="15">
        <f>K53</f>
        <v>118.176</v>
      </c>
    </row>
    <row r="91" spans="1:11" ht="15" customHeight="1" outlineLevel="1" x14ac:dyDescent="0.25">
      <c r="B91" s="27" t="s">
        <v>201</v>
      </c>
      <c r="C91" s="15">
        <f>C54</f>
        <v>10.391</v>
      </c>
      <c r="D91" s="15">
        <f t="shared" si="21"/>
        <v>10.444000000000001</v>
      </c>
      <c r="E91" s="15">
        <f t="shared" si="21"/>
        <v>10.721</v>
      </c>
      <c r="F91" s="15">
        <f t="shared" si="21"/>
        <v>10.797000000000001</v>
      </c>
      <c r="G91" s="15">
        <f>G54</f>
        <v>11.355</v>
      </c>
      <c r="H91" s="15">
        <f t="shared" si="22"/>
        <v>12.073</v>
      </c>
      <c r="I91" s="15">
        <f t="shared" si="22"/>
        <v>12.301999999999996</v>
      </c>
      <c r="J91" s="15">
        <f t="shared" si="22"/>
        <v>11.902000000000001</v>
      </c>
      <c r="K91" s="15">
        <f>K54</f>
        <v>11.471</v>
      </c>
    </row>
    <row r="92" spans="1:11" ht="15" customHeight="1" outlineLevel="1" x14ac:dyDescent="0.25">
      <c r="B92" s="51" t="s">
        <v>77</v>
      </c>
      <c r="C92" s="52">
        <f>+C55</f>
        <v>4587.4780000000001</v>
      </c>
      <c r="D92" s="52">
        <f>+D55-C55</f>
        <v>3718.4049999999997</v>
      </c>
      <c r="E92" s="52">
        <f>+E55-D55</f>
        <v>2990.9320000000007</v>
      </c>
      <c r="F92" s="52">
        <f>+F55-E55</f>
        <v>3306.5389999999989</v>
      </c>
      <c r="G92" s="52">
        <f>+G55</f>
        <v>3021.94</v>
      </c>
      <c r="H92" s="52">
        <f>+H55-G55</f>
        <v>2658.4069999999997</v>
      </c>
      <c r="I92" s="52">
        <f>+I55-H55</f>
        <v>2693.241</v>
      </c>
      <c r="J92" s="52">
        <f>+J55-I55</f>
        <v>3356.1910000000007</v>
      </c>
      <c r="K92" s="52">
        <f>+K55</f>
        <v>3790.5909999999999</v>
      </c>
    </row>
    <row r="93" spans="1:11" ht="15" customHeight="1" outlineLevel="1" x14ac:dyDescent="0.25">
      <c r="B93" s="50" t="s">
        <v>197</v>
      </c>
      <c r="C93" s="45">
        <f>C56</f>
        <v>808.57500000000005</v>
      </c>
      <c r="D93" s="45">
        <f t="shared" ref="D93:F97" si="23">D56-C56</f>
        <v>274.65699999999993</v>
      </c>
      <c r="E93" s="45">
        <f t="shared" si="23"/>
        <v>324.42499999999995</v>
      </c>
      <c r="F93" s="45">
        <f t="shared" si="23"/>
        <v>43.747000000000071</v>
      </c>
      <c r="G93" s="45">
        <f>G56</f>
        <v>-46.23</v>
      </c>
      <c r="H93" s="45">
        <f t="shared" ref="H93:J97" si="24">H56-G56</f>
        <v>90.956999999999994</v>
      </c>
      <c r="I93" s="45">
        <f t="shared" si="24"/>
        <v>-210.06100000000001</v>
      </c>
      <c r="J93" s="45">
        <f t="shared" si="24"/>
        <v>-178.58999999999997</v>
      </c>
      <c r="K93" s="45">
        <f>K56</f>
        <v>108.807</v>
      </c>
    </row>
    <row r="94" spans="1:11" ht="15" customHeight="1" outlineLevel="1" x14ac:dyDescent="0.25">
      <c r="B94" s="27" t="s">
        <v>198</v>
      </c>
      <c r="C94" s="13">
        <f>C57</f>
        <v>150.38499999999999</v>
      </c>
      <c r="D94" s="13">
        <f t="shared" si="23"/>
        <v>164.48700000000002</v>
      </c>
      <c r="E94" s="13">
        <f t="shared" si="23"/>
        <v>80.354999999999961</v>
      </c>
      <c r="F94" s="13">
        <f t="shared" si="23"/>
        <v>62.347000000000037</v>
      </c>
      <c r="G94" s="13">
        <f>G57</f>
        <v>174.47800000000001</v>
      </c>
      <c r="H94" s="13">
        <f t="shared" si="24"/>
        <v>106.41399999999999</v>
      </c>
      <c r="I94" s="13">
        <f t="shared" si="24"/>
        <v>197.01</v>
      </c>
      <c r="J94" s="13">
        <f t="shared" si="24"/>
        <v>257.86600000000004</v>
      </c>
      <c r="K94" s="13">
        <f>K57</f>
        <v>390.637</v>
      </c>
    </row>
    <row r="95" spans="1:11" ht="15" customHeight="1" outlineLevel="1" x14ac:dyDescent="0.25">
      <c r="B95" s="27" t="s">
        <v>199</v>
      </c>
      <c r="C95" s="15">
        <f>C58</f>
        <v>-2.7970000000000002</v>
      </c>
      <c r="D95" s="15">
        <f t="shared" si="23"/>
        <v>8.3130000000000006</v>
      </c>
      <c r="E95" s="15">
        <f t="shared" si="23"/>
        <v>-6.5010000000000003</v>
      </c>
      <c r="F95" s="15">
        <f t="shared" si="23"/>
        <v>-6.9479999999999995</v>
      </c>
      <c r="G95" s="15">
        <f>G58</f>
        <v>-7.9269999999999996</v>
      </c>
      <c r="H95" s="15">
        <f t="shared" si="24"/>
        <v>1.8519999999999994</v>
      </c>
      <c r="I95" s="15">
        <f t="shared" si="24"/>
        <v>-5.4509999999999996</v>
      </c>
      <c r="J95" s="15">
        <f t="shared" si="24"/>
        <v>-16.574999999999999</v>
      </c>
      <c r="K95" s="15">
        <f>K58</f>
        <v>-11.398999999999999</v>
      </c>
    </row>
    <row r="96" spans="1:11" ht="15" customHeight="1" outlineLevel="1" x14ac:dyDescent="0.25">
      <c r="B96" s="27" t="s">
        <v>200</v>
      </c>
      <c r="C96" s="15">
        <f>C59</f>
        <v>13.757</v>
      </c>
      <c r="D96" s="15">
        <f t="shared" si="23"/>
        <v>31.673000000000002</v>
      </c>
      <c r="E96" s="15">
        <f t="shared" si="23"/>
        <v>19.187999999999995</v>
      </c>
      <c r="F96" s="15">
        <f t="shared" si="23"/>
        <v>39.094000000000008</v>
      </c>
      <c r="G96" s="15">
        <f>G59</f>
        <v>25.042999999999999</v>
      </c>
      <c r="H96" s="15">
        <f t="shared" si="24"/>
        <v>49.817</v>
      </c>
      <c r="I96" s="15">
        <f t="shared" si="24"/>
        <v>58.894999999999996</v>
      </c>
      <c r="J96" s="15">
        <f t="shared" si="24"/>
        <v>42.073000000000008</v>
      </c>
      <c r="K96" s="15">
        <f>K59</f>
        <v>39.512999999999998</v>
      </c>
    </row>
    <row r="97" spans="1:11" ht="15" customHeight="1" outlineLevel="1" x14ac:dyDescent="0.25">
      <c r="B97" s="27" t="s">
        <v>201</v>
      </c>
      <c r="C97" s="15">
        <f>C60</f>
        <v>-27.283999999999999</v>
      </c>
      <c r="D97" s="15">
        <f t="shared" si="23"/>
        <v>-24.408000000000001</v>
      </c>
      <c r="E97" s="15">
        <f t="shared" si="23"/>
        <v>-15.633999999999993</v>
      </c>
      <c r="F97" s="15">
        <f t="shared" si="23"/>
        <v>-16.38300000000001</v>
      </c>
      <c r="G97" s="15">
        <f>G60</f>
        <v>-21.72</v>
      </c>
      <c r="H97" s="15">
        <f t="shared" si="24"/>
        <v>-23.810000000000002</v>
      </c>
      <c r="I97" s="15">
        <f t="shared" si="24"/>
        <v>-12.429000000000002</v>
      </c>
      <c r="J97" s="15">
        <f t="shared" si="24"/>
        <v>-22.86</v>
      </c>
      <c r="K97" s="15">
        <f>K60</f>
        <v>-11.43</v>
      </c>
    </row>
    <row r="98" spans="1:11" ht="15" customHeight="1" outlineLevel="1" x14ac:dyDescent="0.25">
      <c r="B98" s="51" t="s">
        <v>78</v>
      </c>
      <c r="C98" s="52">
        <f>+C61</f>
        <v>942.63599999999997</v>
      </c>
      <c r="D98" s="52">
        <f>+D61-C61</f>
        <v>454.72199999999998</v>
      </c>
      <c r="E98" s="52">
        <f>+E61-D61</f>
        <v>401.83300000000008</v>
      </c>
      <c r="F98" s="52">
        <f>+F61-E61</f>
        <v>121.85699999999997</v>
      </c>
      <c r="G98" s="52">
        <f>+G61</f>
        <v>123.64400000000001</v>
      </c>
      <c r="H98" s="52">
        <f>+H61-G61</f>
        <v>225.23000000000002</v>
      </c>
      <c r="I98" s="52">
        <f>+I61-H61</f>
        <v>27.963999999999999</v>
      </c>
      <c r="J98" s="52">
        <f>+J61-I61</f>
        <v>81.919999999998765</v>
      </c>
      <c r="K98" s="52">
        <f>+K61</f>
        <v>516.12800000000004</v>
      </c>
    </row>
    <row r="99" spans="1:11" ht="15" customHeight="1" outlineLevel="1" x14ac:dyDescent="0.25">
      <c r="B99" s="50" t="s">
        <v>197</v>
      </c>
      <c r="C99" s="45">
        <f>C62</f>
        <v>633.46900000000005</v>
      </c>
      <c r="D99" s="45">
        <f t="shared" ref="D99:F103" si="25">D62-C62</f>
        <v>228.43499999999995</v>
      </c>
      <c r="E99" s="45">
        <f t="shared" si="25"/>
        <v>205.07099999999991</v>
      </c>
      <c r="F99" s="45">
        <f t="shared" si="25"/>
        <v>-76.237999999999943</v>
      </c>
      <c r="G99" s="45">
        <f>G62</f>
        <v>-90.34</v>
      </c>
      <c r="H99" s="45">
        <f t="shared" ref="H99:J103" si="26">H62-G62</f>
        <v>-17.402000000000001</v>
      </c>
      <c r="I99" s="45">
        <f t="shared" si="26"/>
        <v>-270.16899999999998</v>
      </c>
      <c r="J99" s="45">
        <f t="shared" si="26"/>
        <v>-288.74100000000004</v>
      </c>
      <c r="K99" s="45">
        <f>K62</f>
        <v>11.666</v>
      </c>
    </row>
    <row r="100" spans="1:11" ht="15" customHeight="1" outlineLevel="1" x14ac:dyDescent="0.25">
      <c r="B100" s="27" t="s">
        <v>198</v>
      </c>
      <c r="C100" s="13">
        <f>C63</f>
        <v>105.69799999999999</v>
      </c>
      <c r="D100" s="13">
        <f t="shared" si="25"/>
        <v>130.19499999999999</v>
      </c>
      <c r="E100" s="13">
        <f t="shared" si="25"/>
        <v>57.051999999999992</v>
      </c>
      <c r="F100" s="13">
        <f t="shared" si="25"/>
        <v>30.418000000000006</v>
      </c>
      <c r="G100" s="13">
        <f>G63</f>
        <v>89.326999999999998</v>
      </c>
      <c r="H100" s="13">
        <f t="shared" si="26"/>
        <v>45.266999999999996</v>
      </c>
      <c r="I100" s="13">
        <f t="shared" si="26"/>
        <v>122.45600000000002</v>
      </c>
      <c r="J100" s="13">
        <f t="shared" si="26"/>
        <v>193.51999999999998</v>
      </c>
      <c r="K100" s="13">
        <f>K63</f>
        <v>310.35599999999999</v>
      </c>
    </row>
    <row r="101" spans="1:11" ht="15" customHeight="1" outlineLevel="1" x14ac:dyDescent="0.25">
      <c r="B101" s="27" t="s">
        <v>199</v>
      </c>
      <c r="C101" s="15">
        <f>C64</f>
        <v>-2.2589999999999999</v>
      </c>
      <c r="D101" s="15">
        <f t="shared" si="25"/>
        <v>-0.4650000000000003</v>
      </c>
      <c r="E101" s="15">
        <f t="shared" si="25"/>
        <v>-7.7750000000000004</v>
      </c>
      <c r="F101" s="15">
        <f t="shared" si="25"/>
        <v>-8.92</v>
      </c>
      <c r="G101" s="15">
        <f>G64</f>
        <v>-14.88</v>
      </c>
      <c r="H101" s="15">
        <f t="shared" si="26"/>
        <v>-3.8139999999999983</v>
      </c>
      <c r="I101" s="15">
        <f t="shared" si="26"/>
        <v>-18.102</v>
      </c>
      <c r="J101" s="15">
        <f t="shared" si="26"/>
        <v>-29.366000000000007</v>
      </c>
      <c r="K101" s="15">
        <f>K64</f>
        <v>-30.324000000000002</v>
      </c>
    </row>
    <row r="102" spans="1:11" ht="15" customHeight="1" outlineLevel="1" x14ac:dyDescent="0.25">
      <c r="B102" s="27" t="s">
        <v>200</v>
      </c>
      <c r="C102" s="15">
        <f>C65</f>
        <v>12.826000000000001</v>
      </c>
      <c r="D102" s="15">
        <f t="shared" si="25"/>
        <v>24.844999999999999</v>
      </c>
      <c r="E102" s="15">
        <f t="shared" si="25"/>
        <v>13.032000000000004</v>
      </c>
      <c r="F102" s="15">
        <f t="shared" si="25"/>
        <v>28.808999999999997</v>
      </c>
      <c r="G102" s="15">
        <f>G65</f>
        <v>18.044</v>
      </c>
      <c r="H102" s="15">
        <f t="shared" si="26"/>
        <v>36.611999999999995</v>
      </c>
      <c r="I102" s="15">
        <f t="shared" si="26"/>
        <v>49.059000000000005</v>
      </c>
      <c r="J102" s="15">
        <f t="shared" si="26"/>
        <v>28.006</v>
      </c>
      <c r="K102" s="15">
        <f>K65</f>
        <v>32.026000000000003</v>
      </c>
    </row>
    <row r="103" spans="1:11" ht="15" customHeight="1" outlineLevel="1" x14ac:dyDescent="0.25">
      <c r="B103" s="27" t="s">
        <v>201</v>
      </c>
      <c r="C103" s="15">
        <f>C66</f>
        <v>31.170999999999999</v>
      </c>
      <c r="D103" s="15">
        <f t="shared" si="25"/>
        <v>15.445999999999998</v>
      </c>
      <c r="E103" s="15">
        <f t="shared" si="25"/>
        <v>-10.391999999999996</v>
      </c>
      <c r="F103" s="15">
        <f t="shared" si="25"/>
        <v>4.4409999999999954</v>
      </c>
      <c r="G103" s="15">
        <f>G66</f>
        <v>44.207999999999998</v>
      </c>
      <c r="H103" s="15">
        <f t="shared" si="26"/>
        <v>34.400000000000006</v>
      </c>
      <c r="I103" s="15">
        <f t="shared" si="26"/>
        <v>103.29399999999998</v>
      </c>
      <c r="J103" s="15">
        <f t="shared" si="26"/>
        <v>-98.776999999999987</v>
      </c>
      <c r="K103" s="15">
        <f>K66</f>
        <v>85.653999999999996</v>
      </c>
    </row>
    <row r="104" spans="1:11" ht="15" customHeight="1" outlineLevel="1" x14ac:dyDescent="0.25">
      <c r="A104" s="65" t="s">
        <v>165</v>
      </c>
      <c r="B104" s="51" t="s">
        <v>79</v>
      </c>
      <c r="C104" s="52">
        <f>+C67</f>
        <v>780.90499999999997</v>
      </c>
      <c r="D104" s="52">
        <f>+D67-C67</f>
        <v>398.45600000000013</v>
      </c>
      <c r="E104" s="52">
        <f>+E67-D67</f>
        <v>256.98799999999983</v>
      </c>
      <c r="F104" s="52">
        <f>+F67-E67</f>
        <v>-21.490000000000009</v>
      </c>
      <c r="G104" s="52">
        <f>+G67</f>
        <v>46.359000000000002</v>
      </c>
      <c r="H104" s="52">
        <f>+H67-G67</f>
        <v>95.062999999999988</v>
      </c>
      <c r="I104" s="52">
        <f>+I67-H67</f>
        <v>-13.462000000000003</v>
      </c>
      <c r="J104" s="52">
        <f>+J67-I67</f>
        <v>-195.358</v>
      </c>
      <c r="K104" s="52">
        <f>+K67</f>
        <v>409.37799999999999</v>
      </c>
    </row>
    <row r="105" spans="1:11" x14ac:dyDescent="0.25">
      <c r="F105" s="83"/>
    </row>
    <row r="106" spans="1:11" x14ac:dyDescent="0.25">
      <c r="F106" s="83"/>
    </row>
    <row r="107" spans="1:11" ht="21" customHeight="1" outlineLevel="1" x14ac:dyDescent="0.25">
      <c r="B107" s="36" t="s">
        <v>240</v>
      </c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5" customHeight="1" outlineLevel="1" x14ac:dyDescent="0.25">
      <c r="B108" s="50" t="s">
        <v>197</v>
      </c>
      <c r="C108" s="122">
        <f t="shared" ref="C108:I108" si="27">IFERROR(C93/C87,"n.m.")</f>
        <v>0.24318871588718655</v>
      </c>
      <c r="D108" s="122">
        <f t="shared" si="27"/>
        <v>0.10398085271590762</v>
      </c>
      <c r="E108" s="122">
        <f t="shared" si="27"/>
        <v>0.14392170623691036</v>
      </c>
      <c r="F108" s="122">
        <f t="shared" si="27"/>
        <v>1.8872645556902042E-2</v>
      </c>
      <c r="G108" s="122">
        <f t="shared" si="27"/>
        <v>-2.5867553426317757E-2</v>
      </c>
      <c r="H108" s="122">
        <f t="shared" si="27"/>
        <v>4.9946762331562762E-2</v>
      </c>
      <c r="I108" s="122">
        <f t="shared" si="27"/>
        <v>-0.14508347820201228</v>
      </c>
      <c r="J108" s="122">
        <f>IFERROR(J93/J87,"n.m.")</f>
        <v>-8.7058298202579321E-2</v>
      </c>
      <c r="K108" s="122">
        <f>IFERROR(K93/K87,"n.m.")</f>
        <v>5.1936689048603026E-2</v>
      </c>
    </row>
    <row r="109" spans="1:11" ht="15" customHeight="1" outlineLevel="1" x14ac:dyDescent="0.25">
      <c r="B109" s="27" t="s">
        <v>198</v>
      </c>
      <c r="C109" s="122">
        <f t="shared" ref="C109:I109" si="28">IFERROR(C94/C88,"n.m.")</f>
        <v>0.12838177582340282</v>
      </c>
      <c r="D109" s="122">
        <f t="shared" si="28"/>
        <v>0.18486255029333096</v>
      </c>
      <c r="E109" s="122">
        <f t="shared" si="28"/>
        <v>0.14057145256292944</v>
      </c>
      <c r="F109" s="122">
        <f t="shared" si="28"/>
        <v>7.7293470216097448E-2</v>
      </c>
      <c r="G109" s="122">
        <f t="shared" si="28"/>
        <v>0.15654541017377388</v>
      </c>
      <c r="H109" s="122">
        <f t="shared" si="28"/>
        <v>0.16077026624827576</v>
      </c>
      <c r="I109" s="122">
        <f t="shared" si="28"/>
        <v>0.19400199900542092</v>
      </c>
      <c r="J109" s="122">
        <f t="shared" ref="J109:K113" si="29">IFERROR(J94/J88,"n.m.")</f>
        <v>0.23531161683772137</v>
      </c>
      <c r="K109" s="122">
        <f t="shared" si="29"/>
        <v>0.25029714364067757</v>
      </c>
    </row>
    <row r="110" spans="1:11" ht="15" customHeight="1" outlineLevel="1" x14ac:dyDescent="0.25">
      <c r="B110" s="27" t="s">
        <v>199</v>
      </c>
      <c r="C110" s="122">
        <f t="shared" ref="C110:I110" si="30">IFERROR(C95/C89,"n.m.")</f>
        <v>-0.64940794056187601</v>
      </c>
      <c r="D110" s="122">
        <f t="shared" si="30"/>
        <v>0.1092378449408673</v>
      </c>
      <c r="E110" s="122">
        <f t="shared" si="30"/>
        <v>-9.8674923728427677E-2</v>
      </c>
      <c r="F110" s="122">
        <f t="shared" si="30"/>
        <v>-0.11708599450632781</v>
      </c>
      <c r="G110" s="122">
        <f t="shared" si="30"/>
        <v>-0.70581426409046388</v>
      </c>
      <c r="H110" s="122">
        <f t="shared" si="30"/>
        <v>3.9046193417806907E-2</v>
      </c>
      <c r="I110" s="122">
        <f t="shared" si="30"/>
        <v>-7.4398100125566413E-2</v>
      </c>
      <c r="J110" s="122">
        <f t="shared" si="29"/>
        <v>-0.24141044873942238</v>
      </c>
      <c r="K110" s="122">
        <f t="shared" si="29"/>
        <v>-2.1679345758843667</v>
      </c>
    </row>
    <row r="111" spans="1:11" ht="15" customHeight="1" outlineLevel="1" x14ac:dyDescent="0.25">
      <c r="B111" s="27" t="s">
        <v>200</v>
      </c>
      <c r="C111" s="122">
        <f t="shared" ref="C111:I111" si="31">IFERROR(C96/C90,"n.m.")</f>
        <v>0.17982066297187074</v>
      </c>
      <c r="D111" s="122">
        <f t="shared" si="31"/>
        <v>0.31464703661759158</v>
      </c>
      <c r="E111" s="122">
        <f t="shared" si="31"/>
        <v>0.21676457297785809</v>
      </c>
      <c r="F111" s="122">
        <f t="shared" si="31"/>
        <v>0.34979376001002116</v>
      </c>
      <c r="G111" s="122">
        <f t="shared" si="31"/>
        <v>0.25653291812212536</v>
      </c>
      <c r="H111" s="122">
        <f t="shared" si="31"/>
        <v>0.42974215643142427</v>
      </c>
      <c r="I111" s="122">
        <f t="shared" si="31"/>
        <v>0.40813427302273692</v>
      </c>
      <c r="J111" s="122">
        <f t="shared" si="29"/>
        <v>0.32767899561516228</v>
      </c>
      <c r="K111" s="122">
        <f t="shared" si="29"/>
        <v>0.33435722989439476</v>
      </c>
    </row>
    <row r="112" spans="1:11" ht="15" customHeight="1" outlineLevel="1" x14ac:dyDescent="0.25">
      <c r="B112" s="27" t="s">
        <v>201</v>
      </c>
      <c r="C112" s="122">
        <f t="shared" ref="C112:J113" si="32">IFERROR(C97/C91,"n.m.")</f>
        <v>-2.625733808103166</v>
      </c>
      <c r="D112" s="122">
        <f t="shared" si="32"/>
        <v>-2.3370356185369587</v>
      </c>
      <c r="E112" s="122">
        <f t="shared" si="32"/>
        <v>-1.4582594907191486</v>
      </c>
      <c r="F112" s="122">
        <f t="shared" si="32"/>
        <v>-1.5173659349819402</v>
      </c>
      <c r="G112" s="122">
        <f t="shared" si="32"/>
        <v>-1.9128137384412152</v>
      </c>
      <c r="H112" s="122">
        <f t="shared" si="32"/>
        <v>-1.9721693034042906</v>
      </c>
      <c r="I112" s="122">
        <f t="shared" si="32"/>
        <v>-1.0103235246301419</v>
      </c>
      <c r="J112" s="122">
        <f t="shared" si="29"/>
        <v>-1.9206855990589815</v>
      </c>
      <c r="K112" s="122">
        <f t="shared" si="29"/>
        <v>-0.99642576933135729</v>
      </c>
    </row>
    <row r="113" spans="1:12" ht="15" customHeight="1" outlineLevel="1" x14ac:dyDescent="0.25">
      <c r="B113" s="51" t="s">
        <v>241</v>
      </c>
      <c r="C113" s="123">
        <f t="shared" si="32"/>
        <v>0.20548022246646194</v>
      </c>
      <c r="D113" s="123">
        <f t="shared" si="32"/>
        <v>0.12228953005388063</v>
      </c>
      <c r="E113" s="123">
        <f t="shared" si="32"/>
        <v>0.13435042989944271</v>
      </c>
      <c r="F113" s="123">
        <f t="shared" si="32"/>
        <v>3.6853338188359494E-2</v>
      </c>
      <c r="G113" s="123">
        <f t="shared" si="32"/>
        <v>4.0915438426970756E-2</v>
      </c>
      <c r="H113" s="123">
        <f t="shared" si="32"/>
        <v>8.472367098040294E-2</v>
      </c>
      <c r="I113" s="123">
        <f t="shared" si="32"/>
        <v>1.03830292201849E-2</v>
      </c>
      <c r="J113" s="123">
        <f t="shared" si="32"/>
        <v>2.4408622751207767E-2</v>
      </c>
      <c r="K113" s="123">
        <f t="shared" si="29"/>
        <v>0.13616029795881435</v>
      </c>
    </row>
    <row r="114" spans="1:12" ht="15" customHeight="1" outlineLevel="1" x14ac:dyDescent="0.25">
      <c r="B114" s="50" t="s">
        <v>197</v>
      </c>
      <c r="C114" s="122">
        <f t="shared" ref="C114:K114" si="33">IFERROR(C99/C87,"n.m.")</f>
        <v>0.19052346741408055</v>
      </c>
      <c r="D114" s="122">
        <f t="shared" si="33"/>
        <v>8.6481925056191386E-2</v>
      </c>
      <c r="E114" s="122">
        <f t="shared" si="33"/>
        <v>9.097377890023714E-2</v>
      </c>
      <c r="F114" s="122">
        <f t="shared" si="33"/>
        <v>-3.2889403889800321E-2</v>
      </c>
      <c r="G114" s="122">
        <f t="shared" si="33"/>
        <v>-5.0548881170961422E-2</v>
      </c>
      <c r="H114" s="122">
        <f t="shared" si="33"/>
        <v>-9.5558731938592441E-3</v>
      </c>
      <c r="I114" s="122">
        <f t="shared" si="33"/>
        <v>-0.18659845579312415</v>
      </c>
      <c r="J114" s="122">
        <f>IFERROR(J99/J87,"n.m.")</f>
        <v>-0.14075424201417192</v>
      </c>
      <c r="K114" s="122">
        <f t="shared" si="33"/>
        <v>5.5685150260645268E-3</v>
      </c>
    </row>
    <row r="115" spans="1:12" ht="15" customHeight="1" outlineLevel="1" x14ac:dyDescent="0.25">
      <c r="B115" s="27" t="s">
        <v>198</v>
      </c>
      <c r="C115" s="122">
        <f t="shared" ref="C115:K115" si="34">IFERROR(C100/C88,"n.m.")</f>
        <v>9.0233048116381498E-2</v>
      </c>
      <c r="D115" s="122">
        <f t="shared" si="34"/>
        <v>0.14632268650677696</v>
      </c>
      <c r="E115" s="122">
        <f t="shared" si="34"/>
        <v>9.9805643850665829E-2</v>
      </c>
      <c r="F115" s="122">
        <f t="shared" si="34"/>
        <v>3.7710118803362655E-2</v>
      </c>
      <c r="G115" s="122">
        <f t="shared" si="34"/>
        <v>8.014610354653709E-2</v>
      </c>
      <c r="H115" s="122">
        <f t="shared" si="34"/>
        <v>6.8389381493607043E-2</v>
      </c>
      <c r="I115" s="122">
        <f t="shared" si="34"/>
        <v>0.12058630927469584</v>
      </c>
      <c r="J115" s="122">
        <f t="shared" si="34"/>
        <v>0.17659367303341977</v>
      </c>
      <c r="K115" s="122">
        <f t="shared" si="34"/>
        <v>0.19885781508599065</v>
      </c>
    </row>
    <row r="116" spans="1:12" ht="15" customHeight="1" outlineLevel="1" x14ac:dyDescent="0.25">
      <c r="B116" s="27" t="s">
        <v>199</v>
      </c>
      <c r="C116" s="122">
        <f t="shared" ref="C116:K116" si="35">IFERROR(C101/C89,"n.m.")</f>
        <v>-0.52449500812630589</v>
      </c>
      <c r="D116" s="122">
        <f t="shared" si="35"/>
        <v>-6.1103810775295711E-3</v>
      </c>
      <c r="E116" s="122">
        <f t="shared" si="35"/>
        <v>-0.11801223380841797</v>
      </c>
      <c r="F116" s="122">
        <f t="shared" si="35"/>
        <v>-0.15031765558382904</v>
      </c>
      <c r="G116" s="122">
        <f t="shared" si="35"/>
        <v>-1.3249042827887099</v>
      </c>
      <c r="H116" s="122">
        <f t="shared" si="35"/>
        <v>-8.041154519196303E-2</v>
      </c>
      <c r="I116" s="122">
        <f t="shared" si="35"/>
        <v>-0.24706556750559588</v>
      </c>
      <c r="J116" s="122">
        <f t="shared" si="35"/>
        <v>-0.42770794797477402</v>
      </c>
      <c r="K116" s="122">
        <f t="shared" si="35"/>
        <v>-5.7672118676302784</v>
      </c>
    </row>
    <row r="117" spans="1:12" ht="15" customHeight="1" outlineLevel="1" x14ac:dyDescent="0.25">
      <c r="B117" s="27" t="s">
        <v>200</v>
      </c>
      <c r="C117" s="122">
        <f t="shared" ref="C117:K117" si="36">IFERROR(C102/C90,"n.m.")</f>
        <v>0.1676513646345289</v>
      </c>
      <c r="D117" s="122">
        <f t="shared" si="36"/>
        <v>0.24681607756650972</v>
      </c>
      <c r="E117" s="122">
        <f t="shared" si="36"/>
        <v>0.14722096701310444</v>
      </c>
      <c r="F117" s="122">
        <f t="shared" si="36"/>
        <v>0.25776867120603408</v>
      </c>
      <c r="G117" s="122">
        <f t="shared" si="36"/>
        <v>0.18483727886417883</v>
      </c>
      <c r="H117" s="122">
        <f t="shared" si="36"/>
        <v>0.31583033565383911</v>
      </c>
      <c r="I117" s="122">
        <f t="shared" si="36"/>
        <v>0.33997214195131087</v>
      </c>
      <c r="J117" s="122">
        <f t="shared" si="36"/>
        <v>0.21812036106762611</v>
      </c>
      <c r="K117" s="122">
        <f t="shared" si="36"/>
        <v>0.27100257243433523</v>
      </c>
    </row>
    <row r="118" spans="1:12" ht="15" customHeight="1" outlineLevel="1" x14ac:dyDescent="0.25">
      <c r="B118" s="27" t="s">
        <v>201</v>
      </c>
      <c r="C118" s="122">
        <f t="shared" ref="C118:K119" si="37">IFERROR(C103/C91,"n.m.")</f>
        <v>2.9998075257434316</v>
      </c>
      <c r="D118" s="122">
        <f t="shared" si="37"/>
        <v>1.4789352738414399</v>
      </c>
      <c r="E118" s="122">
        <f t="shared" si="37"/>
        <v>-0.96931256412648037</v>
      </c>
      <c r="F118" s="122">
        <f t="shared" si="37"/>
        <v>0.41131795869222887</v>
      </c>
      <c r="G118" s="122">
        <f t="shared" si="37"/>
        <v>3.8932628797886393</v>
      </c>
      <c r="H118" s="122">
        <f t="shared" si="37"/>
        <v>2.8493332228940615</v>
      </c>
      <c r="I118" s="122">
        <f t="shared" si="37"/>
        <v>8.3965208909120488</v>
      </c>
      <c r="J118" s="122">
        <f t="shared" si="37"/>
        <v>-8.2991934128717837</v>
      </c>
      <c r="K118" s="122">
        <f t="shared" si="37"/>
        <v>7.4670037485833838</v>
      </c>
    </row>
    <row r="119" spans="1:12" ht="15" customHeight="1" outlineLevel="1" x14ac:dyDescent="0.25">
      <c r="A119" s="65" t="s">
        <v>165</v>
      </c>
      <c r="B119" s="51" t="s">
        <v>242</v>
      </c>
      <c r="C119" s="123">
        <f t="shared" si="37"/>
        <v>0.17022533950026572</v>
      </c>
      <c r="D119" s="123">
        <f t="shared" si="37"/>
        <v>0.10715777329258114</v>
      </c>
      <c r="E119" s="123">
        <f t="shared" si="37"/>
        <v>8.5922381384799046E-2</v>
      </c>
      <c r="F119" s="123">
        <f t="shared" si="37"/>
        <v>-6.4992428639129964E-3</v>
      </c>
      <c r="G119" s="123">
        <f t="shared" si="37"/>
        <v>1.5340807560706037E-2</v>
      </c>
      <c r="H119" s="123">
        <f t="shared" si="37"/>
        <v>3.5759385225813803E-2</v>
      </c>
      <c r="I119" s="123">
        <f t="shared" si="37"/>
        <v>-4.9984386840984532E-3</v>
      </c>
      <c r="J119" s="123">
        <f t="shared" si="37"/>
        <v>-5.8208248577032703E-2</v>
      </c>
      <c r="K119" s="123">
        <f t="shared" si="37"/>
        <v>0.10799846250888054</v>
      </c>
    </row>
    <row r="122" spans="1:12" ht="20.100000000000001" customHeight="1" outlineLevel="1" x14ac:dyDescent="0.25">
      <c r="B122" s="36" t="s">
        <v>112</v>
      </c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2" outlineLevel="1" x14ac:dyDescent="0.25">
      <c r="B123" s="38" t="s">
        <v>65</v>
      </c>
      <c r="C123" s="39" t="s">
        <v>188</v>
      </c>
      <c r="D123" s="39" t="s">
        <v>190</v>
      </c>
      <c r="E123" s="39" t="s">
        <v>193</v>
      </c>
      <c r="F123" s="39">
        <v>2019</v>
      </c>
      <c r="G123" s="39" t="s">
        <v>195</v>
      </c>
      <c r="H123" s="39" t="s">
        <v>221</v>
      </c>
      <c r="I123" s="39" t="s">
        <v>228</v>
      </c>
      <c r="J123" s="39">
        <v>2020</v>
      </c>
      <c r="K123" s="39" t="s">
        <v>245</v>
      </c>
    </row>
    <row r="124" spans="1:12" ht="15" customHeight="1" outlineLevel="1" x14ac:dyDescent="0.25">
      <c r="B124" s="50" t="s">
        <v>113</v>
      </c>
      <c r="C124" s="3">
        <v>4520.4250000000002</v>
      </c>
      <c r="D124" s="3">
        <v>4292.25</v>
      </c>
      <c r="E124" s="3">
        <v>3977.0259999999998</v>
      </c>
      <c r="F124" s="3">
        <v>4094.625</v>
      </c>
      <c r="G124" s="3">
        <v>3935.45</v>
      </c>
      <c r="H124" s="3">
        <v>3014.76</v>
      </c>
      <c r="I124" s="3">
        <v>2944.223</v>
      </c>
      <c r="J124" s="3">
        <v>3259.116</v>
      </c>
      <c r="K124" s="3">
        <v>3413.2109999999998</v>
      </c>
      <c r="L124" s="104"/>
    </row>
    <row r="125" spans="1:12" ht="15" customHeight="1" outlineLevel="1" x14ac:dyDescent="0.25">
      <c r="B125" s="27" t="s">
        <v>114</v>
      </c>
      <c r="C125" s="3">
        <v>2323.915</v>
      </c>
      <c r="D125" s="3">
        <v>2086.7939999999999</v>
      </c>
      <c r="E125" s="3">
        <v>1399.9860000000001</v>
      </c>
      <c r="F125" s="3">
        <v>1953.336</v>
      </c>
      <c r="G125" s="3">
        <v>1564.829</v>
      </c>
      <c r="H125" s="3">
        <v>1238.316</v>
      </c>
      <c r="I125" s="3">
        <v>1356.6510000000001</v>
      </c>
      <c r="J125" s="3">
        <v>2038.8510000000001</v>
      </c>
      <c r="K125" s="3">
        <v>2431.663</v>
      </c>
      <c r="L125" s="104"/>
    </row>
    <row r="126" spans="1:12" ht="15" customHeight="1" outlineLevel="1" x14ac:dyDescent="0.25">
      <c r="B126" s="27" t="s">
        <v>115</v>
      </c>
      <c r="C126" s="3">
        <v>1151.3779999999999</v>
      </c>
      <c r="D126" s="3">
        <v>1225.769</v>
      </c>
      <c r="E126" s="3">
        <v>1739.1</v>
      </c>
      <c r="F126" s="3">
        <v>1448.934</v>
      </c>
      <c r="G126" s="3">
        <v>1498.932</v>
      </c>
      <c r="H126" s="3">
        <v>1797.3820000000001</v>
      </c>
      <c r="I126" s="3">
        <v>1910.8779999999999</v>
      </c>
      <c r="J126" s="3">
        <v>2033.5450000000001</v>
      </c>
      <c r="K126" s="3">
        <v>2132.7139999999999</v>
      </c>
      <c r="L126" s="104"/>
    </row>
    <row r="127" spans="1:12" ht="15" customHeight="1" outlineLevel="1" x14ac:dyDescent="0.25">
      <c r="B127" s="27" t="s">
        <v>116</v>
      </c>
      <c r="C127" s="3">
        <v>2044.829</v>
      </c>
      <c r="D127" s="3">
        <v>2051.9180000000001</v>
      </c>
      <c r="E127" s="3">
        <v>2061.1680000000001</v>
      </c>
      <c r="F127" s="3">
        <v>2135.2060000000001</v>
      </c>
      <c r="G127" s="3">
        <v>2230.002</v>
      </c>
      <c r="H127" s="3">
        <v>2407.8719999999998</v>
      </c>
      <c r="I127" s="3">
        <v>2562.8180000000002</v>
      </c>
      <c r="J127" s="3">
        <v>2576.9749999999999</v>
      </c>
      <c r="K127" s="3">
        <v>2730.4549999999999</v>
      </c>
      <c r="L127" s="104"/>
    </row>
    <row r="128" spans="1:12" ht="15" customHeight="1" outlineLevel="1" x14ac:dyDescent="0.25">
      <c r="B128" s="27" t="s">
        <v>117</v>
      </c>
      <c r="C128" s="3">
        <v>121.779</v>
      </c>
      <c r="D128" s="3">
        <v>127.13500000000001</v>
      </c>
      <c r="E128" s="3">
        <v>193.32400000000001</v>
      </c>
      <c r="F128" s="3">
        <v>106.459</v>
      </c>
      <c r="G128" s="3">
        <v>134.13300000000001</v>
      </c>
      <c r="H128" s="3">
        <v>131.92599999999999</v>
      </c>
      <c r="I128" s="3">
        <v>135.303</v>
      </c>
      <c r="J128" s="3">
        <v>136.095</v>
      </c>
      <c r="K128" s="3">
        <v>141.27799999999999</v>
      </c>
      <c r="L128" s="104"/>
    </row>
    <row r="129" spans="1:12" ht="15" customHeight="1" outlineLevel="1" x14ac:dyDescent="0.25">
      <c r="B129" s="51" t="s">
        <v>118</v>
      </c>
      <c r="C129" s="52">
        <v>13435.368</v>
      </c>
      <c r="D129" s="52">
        <v>12460.67</v>
      </c>
      <c r="E129" s="52">
        <v>12241.508</v>
      </c>
      <c r="F129" s="52">
        <v>12663.147999999999</v>
      </c>
      <c r="G129" s="52">
        <v>12662.343999999999</v>
      </c>
      <c r="H129" s="52">
        <v>12719.023999999999</v>
      </c>
      <c r="I129" s="52">
        <v>14616.946</v>
      </c>
      <c r="J129" s="52">
        <v>13917.032999999999</v>
      </c>
      <c r="K129" s="52">
        <v>15628.932000000001</v>
      </c>
    </row>
    <row r="130" spans="1:12" ht="15" customHeight="1" outlineLevel="1" x14ac:dyDescent="0.25">
      <c r="B130" s="27" t="s">
        <v>119</v>
      </c>
      <c r="C130" s="3">
        <v>3004.8710000000001</v>
      </c>
      <c r="D130" s="3">
        <v>2922.511</v>
      </c>
      <c r="E130" s="3">
        <v>2903.4319999999998</v>
      </c>
      <c r="F130" s="3">
        <v>3330.48</v>
      </c>
      <c r="G130" s="3">
        <v>3514.3130000000001</v>
      </c>
      <c r="H130" s="3">
        <v>3654.4549999999999</v>
      </c>
      <c r="I130" s="3">
        <v>4086.4209999999998</v>
      </c>
      <c r="J130" s="3">
        <v>3418.087</v>
      </c>
      <c r="K130" s="3">
        <v>4193.1940000000004</v>
      </c>
      <c r="L130" s="104"/>
    </row>
    <row r="131" spans="1:12" ht="15" customHeight="1" outlineLevel="1" x14ac:dyDescent="0.25">
      <c r="B131" s="27" t="s">
        <v>120</v>
      </c>
      <c r="C131" s="3">
        <f>537.246+183.738</f>
        <v>720.98399999999992</v>
      </c>
      <c r="D131" s="3">
        <f>542.341+203.866</f>
        <v>746.20699999999999</v>
      </c>
      <c r="E131" s="3">
        <f>583.766+183.372</f>
        <v>767.13799999999992</v>
      </c>
      <c r="F131" s="3">
        <f>407.897+212.591</f>
        <v>620.48800000000006</v>
      </c>
      <c r="G131" s="3">
        <f>300.323+138.338</f>
        <v>438.66099999999994</v>
      </c>
      <c r="H131" s="3">
        <f>756.547+157.097</f>
        <v>913.64400000000001</v>
      </c>
      <c r="I131" s="3">
        <f>1682.742+91.718</f>
        <v>1774.46</v>
      </c>
      <c r="J131" s="3">
        <v>1875.394</v>
      </c>
      <c r="K131" s="3">
        <v>2049.0279999999998</v>
      </c>
      <c r="L131" s="104"/>
    </row>
    <row r="132" spans="1:12" ht="15" customHeight="1" outlineLevel="1" x14ac:dyDescent="0.25">
      <c r="B132" s="27" t="s">
        <v>121</v>
      </c>
      <c r="C132" s="3">
        <v>97.45</v>
      </c>
      <c r="D132" s="3">
        <v>111.151</v>
      </c>
      <c r="E132" s="3">
        <v>69.896000000000001</v>
      </c>
      <c r="F132" s="3">
        <v>215.458</v>
      </c>
      <c r="G132" s="3">
        <v>302.35599999999999</v>
      </c>
      <c r="H132" s="3">
        <v>337.83699999999999</v>
      </c>
      <c r="I132" s="3">
        <v>341.137</v>
      </c>
      <c r="J132" s="3">
        <v>272.613</v>
      </c>
      <c r="K132" s="3">
        <v>273.76600000000002</v>
      </c>
      <c r="L132" s="104"/>
    </row>
    <row r="133" spans="1:12" ht="15" customHeight="1" outlineLevel="1" x14ac:dyDescent="0.25">
      <c r="B133" s="27" t="s">
        <v>122</v>
      </c>
      <c r="C133" s="3">
        <v>4874.2209999999995</v>
      </c>
      <c r="D133" s="3">
        <v>5171.0259999999998</v>
      </c>
      <c r="E133" s="3">
        <v>5391.201</v>
      </c>
      <c r="F133" s="3">
        <v>5496.87</v>
      </c>
      <c r="G133" s="3">
        <v>5397.6819999999998</v>
      </c>
      <c r="H133" s="3">
        <v>5688.598</v>
      </c>
      <c r="I133" s="3">
        <v>6225.5420000000004</v>
      </c>
      <c r="J133" s="3">
        <v>5810.9</v>
      </c>
      <c r="K133" s="3">
        <v>6508.86</v>
      </c>
    </row>
    <row r="134" spans="1:12" ht="15" customHeight="1" outlineLevel="1" x14ac:dyDescent="0.25">
      <c r="A134" s="65" t="s">
        <v>165</v>
      </c>
      <c r="B134" s="51" t="s">
        <v>123</v>
      </c>
      <c r="C134" s="52">
        <v>13435.368</v>
      </c>
      <c r="D134" s="52">
        <v>12460.67</v>
      </c>
      <c r="E134" s="52">
        <v>12241.508</v>
      </c>
      <c r="F134" s="52">
        <v>12663.147999999999</v>
      </c>
      <c r="G134" s="52">
        <v>12662.343999999999</v>
      </c>
      <c r="H134" s="52">
        <v>12719.023999999999</v>
      </c>
      <c r="I134" s="52">
        <v>14616.946</v>
      </c>
      <c r="J134" s="52">
        <v>13917.032999999999</v>
      </c>
      <c r="K134" s="52">
        <v>15628.932000000001</v>
      </c>
    </row>
    <row r="137" spans="1:12" ht="19.5" customHeight="1" outlineLevel="1" x14ac:dyDescent="0.25">
      <c r="B137" s="36" t="s">
        <v>155</v>
      </c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2" outlineLevel="1" x14ac:dyDescent="0.25">
      <c r="B138" s="38" t="s">
        <v>65</v>
      </c>
      <c r="C138" s="39" t="s">
        <v>188</v>
      </c>
      <c r="D138" s="39" t="s">
        <v>190</v>
      </c>
      <c r="E138" s="39" t="s">
        <v>193</v>
      </c>
      <c r="F138" s="39">
        <v>2019</v>
      </c>
      <c r="G138" s="39" t="s">
        <v>195</v>
      </c>
      <c r="H138" s="39" t="s">
        <v>221</v>
      </c>
      <c r="I138" s="39" t="s">
        <v>228</v>
      </c>
      <c r="J138" s="39">
        <v>2020</v>
      </c>
      <c r="K138" s="39" t="s">
        <v>245</v>
      </c>
    </row>
    <row r="139" spans="1:12" ht="15" customHeight="1" outlineLevel="1" x14ac:dyDescent="0.25">
      <c r="B139" s="50" t="s">
        <v>197</v>
      </c>
      <c r="D139" s="3"/>
      <c r="E139" s="3"/>
      <c r="F139" s="3">
        <v>6881.3549999999996</v>
      </c>
      <c r="G139" s="3">
        <v>6211.6890000000003</v>
      </c>
      <c r="H139" s="3">
        <v>5875.2</v>
      </c>
      <c r="I139" s="3">
        <v>7185.3320000000003</v>
      </c>
      <c r="J139" s="3">
        <v>6553.4390000000003</v>
      </c>
      <c r="K139" s="3">
        <v>7316.5940000000001</v>
      </c>
    </row>
    <row r="140" spans="1:12" ht="15" customHeight="1" outlineLevel="1" x14ac:dyDescent="0.25">
      <c r="B140" s="27" t="s">
        <v>198</v>
      </c>
      <c r="D140" s="3"/>
      <c r="E140" s="3"/>
      <c r="F140" s="3">
        <v>3174.4270000000001</v>
      </c>
      <c r="G140" s="3">
        <v>3071.2510000000002</v>
      </c>
      <c r="H140" s="3">
        <v>3198.4140000000002</v>
      </c>
      <c r="I140" s="3">
        <v>3406.3119999999999</v>
      </c>
      <c r="J140" s="3">
        <v>3588.933</v>
      </c>
      <c r="K140" s="3">
        <v>4419.1859999999997</v>
      </c>
    </row>
    <row r="141" spans="1:12" ht="15" customHeight="1" outlineLevel="1" x14ac:dyDescent="0.25">
      <c r="B141" s="27" t="s">
        <v>199</v>
      </c>
      <c r="D141" s="3"/>
      <c r="E141" s="3"/>
      <c r="F141" s="3">
        <v>300.96699999999998</v>
      </c>
      <c r="G141" s="3">
        <v>302.99299999999999</v>
      </c>
      <c r="H141" s="3">
        <v>409.42200000000003</v>
      </c>
      <c r="I141" s="3">
        <v>425.06799999999998</v>
      </c>
      <c r="J141" s="3">
        <v>383.63799999999998</v>
      </c>
      <c r="K141" s="3">
        <v>369.476</v>
      </c>
    </row>
    <row r="142" spans="1:12" ht="15" customHeight="1" outlineLevel="1" x14ac:dyDescent="0.25">
      <c r="B142" s="27" t="s">
        <v>200</v>
      </c>
      <c r="D142" s="3"/>
      <c r="E142" s="3"/>
      <c r="F142" s="3">
        <v>350.74200000000002</v>
      </c>
      <c r="G142" s="3">
        <v>281.649</v>
      </c>
      <c r="H142" s="3">
        <v>543.62199999999996</v>
      </c>
      <c r="I142" s="3">
        <v>568.53800000000001</v>
      </c>
      <c r="J142" s="3">
        <v>564.70500000000004</v>
      </c>
      <c r="K142" s="3">
        <v>507.56400000000002</v>
      </c>
    </row>
    <row r="143" spans="1:12" ht="15" customHeight="1" outlineLevel="1" x14ac:dyDescent="0.25">
      <c r="B143" s="27" t="s">
        <v>201</v>
      </c>
      <c r="D143" s="3"/>
      <c r="E143" s="3"/>
      <c r="F143" s="3">
        <v>1955.6569999999999</v>
      </c>
      <c r="G143" s="3">
        <v>2794.7620000000002</v>
      </c>
      <c r="H143" s="3">
        <v>2692.366</v>
      </c>
      <c r="I143" s="3">
        <v>3031.6959999999999</v>
      </c>
      <c r="J143" s="3">
        <v>2826.3180000000002</v>
      </c>
      <c r="K143" s="3">
        <v>3016.1120000000001</v>
      </c>
    </row>
    <row r="144" spans="1:12" ht="15" customHeight="1" outlineLevel="1" x14ac:dyDescent="0.25">
      <c r="B144" s="51" t="s">
        <v>156</v>
      </c>
      <c r="C144" s="52">
        <v>13435.368</v>
      </c>
      <c r="D144" s="52">
        <v>12460.67</v>
      </c>
      <c r="E144" s="52">
        <v>12241.508</v>
      </c>
      <c r="F144" s="52">
        <v>12663.147999999999</v>
      </c>
      <c r="G144" s="52">
        <v>12662.343999999999</v>
      </c>
      <c r="H144" s="52">
        <v>12719.023999999999</v>
      </c>
      <c r="I144" s="52">
        <v>14616.946</v>
      </c>
      <c r="J144" s="52">
        <v>13917.032999999999</v>
      </c>
      <c r="K144" s="52">
        <v>15628.932000000001</v>
      </c>
    </row>
    <row r="145" spans="2:11" ht="15" customHeight="1" outlineLevel="1" x14ac:dyDescent="0.25">
      <c r="B145" s="50" t="s">
        <v>197</v>
      </c>
      <c r="C145" s="3"/>
      <c r="D145" s="3"/>
      <c r="E145" s="3"/>
      <c r="F145" s="3">
        <v>4992.7</v>
      </c>
      <c r="G145" s="3">
        <v>4661.6379999999999</v>
      </c>
      <c r="H145" s="3">
        <v>4278.7280000000001</v>
      </c>
      <c r="I145" s="3">
        <v>5661.1490000000003</v>
      </c>
      <c r="J145" s="3">
        <v>5416.8339999999998</v>
      </c>
      <c r="K145" s="3">
        <v>6030.63</v>
      </c>
    </row>
    <row r="146" spans="2:11" ht="15" customHeight="1" outlineLevel="1" x14ac:dyDescent="0.25">
      <c r="B146" s="27" t="s">
        <v>198</v>
      </c>
      <c r="C146" s="3"/>
      <c r="D146" s="3"/>
      <c r="E146" s="3"/>
      <c r="F146" s="3">
        <v>1798.9490000000001</v>
      </c>
      <c r="G146" s="3">
        <v>1721.673</v>
      </c>
      <c r="H146" s="3">
        <v>1794.7070000000001</v>
      </c>
      <c r="I146" s="3">
        <v>2124.3330000000001</v>
      </c>
      <c r="J146" s="3">
        <v>2091.7530000000002</v>
      </c>
      <c r="K146" s="3">
        <v>2511.6640000000002</v>
      </c>
    </row>
    <row r="147" spans="2:11" ht="15" customHeight="1" outlineLevel="1" x14ac:dyDescent="0.25">
      <c r="B147" s="27" t="s">
        <v>199</v>
      </c>
      <c r="C147" s="3"/>
      <c r="D147" s="3"/>
      <c r="E147" s="3"/>
      <c r="F147" s="3">
        <v>102.29900000000001</v>
      </c>
      <c r="G147" s="3">
        <v>114.741</v>
      </c>
      <c r="H147" s="3">
        <v>202.548</v>
      </c>
      <c r="I147" s="3">
        <v>215.62200000000001</v>
      </c>
      <c r="J147" s="3">
        <v>225.32400000000001</v>
      </c>
      <c r="K147" s="3">
        <v>237.703</v>
      </c>
    </row>
    <row r="148" spans="2:11" ht="15" customHeight="1" outlineLevel="1" x14ac:dyDescent="0.25">
      <c r="B148" s="27" t="s">
        <v>200</v>
      </c>
      <c r="C148" s="3"/>
      <c r="D148" s="3"/>
      <c r="E148" s="3"/>
      <c r="F148" s="3">
        <v>97.930999999999997</v>
      </c>
      <c r="G148" s="3">
        <v>166.15799999999999</v>
      </c>
      <c r="H148" s="3">
        <v>392.53300000000002</v>
      </c>
      <c r="I148" s="3">
        <v>111.916</v>
      </c>
      <c r="J148" s="3">
        <v>126.511</v>
      </c>
      <c r="K148" s="3">
        <v>141.79300000000001</v>
      </c>
    </row>
    <row r="149" spans="2:11" ht="15" customHeight="1" outlineLevel="1" x14ac:dyDescent="0.25">
      <c r="B149" s="27" t="s">
        <v>201</v>
      </c>
      <c r="C149" s="3"/>
      <c r="D149" s="3"/>
      <c r="E149" s="3"/>
      <c r="F149" s="3">
        <v>174.399</v>
      </c>
      <c r="G149" s="3">
        <v>600.452</v>
      </c>
      <c r="H149" s="3">
        <v>361.91</v>
      </c>
      <c r="I149" s="3">
        <v>278.38400000000001</v>
      </c>
      <c r="J149" s="3">
        <v>245.71100000000001</v>
      </c>
      <c r="K149" s="3">
        <v>198.28200000000001</v>
      </c>
    </row>
    <row r="150" spans="2:11" ht="15" customHeight="1" outlineLevel="1" x14ac:dyDescent="0.25">
      <c r="B150" s="51" t="s">
        <v>157</v>
      </c>
      <c r="C150" s="52">
        <v>8561.1470000000008</v>
      </c>
      <c r="D150" s="52">
        <v>7289.6440000000002</v>
      </c>
      <c r="E150" s="52">
        <v>6850.3069999999998</v>
      </c>
      <c r="F150" s="52">
        <v>7166.2780000000002</v>
      </c>
      <c r="G150" s="52">
        <v>7264.6620000000003</v>
      </c>
      <c r="H150" s="52">
        <v>7030.4260000000004</v>
      </c>
      <c r="I150" s="52">
        <v>8391.4040000000005</v>
      </c>
      <c r="J150" s="52">
        <v>8106.1329999999998</v>
      </c>
      <c r="K150" s="52">
        <v>9120.0720000000001</v>
      </c>
    </row>
    <row r="151" spans="2:11" ht="15" customHeight="1" outlineLevel="1" x14ac:dyDescent="0.25">
      <c r="B151" s="50" t="s">
        <v>197</v>
      </c>
      <c r="C151" s="3"/>
      <c r="D151" s="3"/>
      <c r="E151" s="3"/>
      <c r="F151" s="3">
        <v>1582.2940000000001</v>
      </c>
      <c r="G151" s="3">
        <v>874.89599999999996</v>
      </c>
      <c r="H151" s="3">
        <v>1549.239</v>
      </c>
      <c r="I151" s="3">
        <v>1279.693</v>
      </c>
      <c r="J151" s="3">
        <v>965.36099999999999</v>
      </c>
      <c r="K151" s="3">
        <v>906.04</v>
      </c>
    </row>
    <row r="152" spans="2:11" ht="15" customHeight="1" outlineLevel="1" x14ac:dyDescent="0.25">
      <c r="B152" s="27" t="s">
        <v>198</v>
      </c>
      <c r="C152" s="3"/>
      <c r="D152" s="3"/>
      <c r="E152" s="3"/>
      <c r="F152" s="3">
        <v>1860.9159999999999</v>
      </c>
      <c r="G152" s="3">
        <v>1960.097</v>
      </c>
      <c r="H152" s="3">
        <v>2015.431</v>
      </c>
      <c r="I152" s="3">
        <v>2142.8139999999999</v>
      </c>
      <c r="J152" s="3">
        <v>2323.0940000000001</v>
      </c>
      <c r="K152" s="3">
        <v>2630.556</v>
      </c>
    </row>
    <row r="153" spans="2:11" ht="15" customHeight="1" outlineLevel="1" x14ac:dyDescent="0.25">
      <c r="B153" s="27" t="s">
        <v>199</v>
      </c>
      <c r="C153" s="3"/>
      <c r="D153" s="3"/>
      <c r="E153" s="3"/>
      <c r="F153" s="3">
        <v>-1.7749999999999999</v>
      </c>
      <c r="G153" s="3">
        <v>-17.175000000000001</v>
      </c>
      <c r="H153" s="3">
        <v>-20.988</v>
      </c>
      <c r="I153" s="3">
        <v>-39.034999999999997</v>
      </c>
      <c r="J153" s="3">
        <v>-68.22</v>
      </c>
      <c r="K153" s="3">
        <v>-100.22799999999999</v>
      </c>
    </row>
    <row r="154" spans="2:11" ht="15" customHeight="1" outlineLevel="1" x14ac:dyDescent="0.25">
      <c r="B154" s="27" t="s">
        <v>200</v>
      </c>
      <c r="C154" s="3"/>
      <c r="D154" s="3"/>
      <c r="E154" s="3"/>
      <c r="F154" s="3">
        <v>164.39599999999999</v>
      </c>
      <c r="G154" s="3">
        <v>193.095</v>
      </c>
      <c r="H154" s="3">
        <v>229.71799999999999</v>
      </c>
      <c r="I154" s="3">
        <v>278.72199999999998</v>
      </c>
      <c r="J154" s="3">
        <v>306.65600000000001</v>
      </c>
      <c r="K154" s="3">
        <v>351.13900000000001</v>
      </c>
    </row>
    <row r="155" spans="2:11" ht="15" customHeight="1" outlineLevel="1" x14ac:dyDescent="0.25">
      <c r="B155" s="27" t="s">
        <v>201</v>
      </c>
      <c r="C155" s="3"/>
      <c r="D155" s="3"/>
      <c r="E155" s="3"/>
      <c r="F155" s="3">
        <v>1822.8489999999999</v>
      </c>
      <c r="G155" s="3">
        <v>2314.6799999999998</v>
      </c>
      <c r="H155" s="3">
        <v>1836.2249999999999</v>
      </c>
      <c r="I155" s="3">
        <v>2475.011</v>
      </c>
      <c r="J155" s="3">
        <v>2203.248</v>
      </c>
      <c r="K155" s="3">
        <v>2635.8589999999999</v>
      </c>
    </row>
    <row r="156" spans="2:11" ht="15" customHeight="1" outlineLevel="1" x14ac:dyDescent="0.25">
      <c r="B156" s="51" t="s">
        <v>158</v>
      </c>
      <c r="C156" s="52">
        <v>4815.8990000000003</v>
      </c>
      <c r="D156" s="52">
        <v>5125.3130000000001</v>
      </c>
      <c r="E156" s="52">
        <v>5345.7089999999998</v>
      </c>
      <c r="F156" s="52">
        <v>5428.68</v>
      </c>
      <c r="G156" s="52">
        <v>5325.5929999999998</v>
      </c>
      <c r="H156" s="52">
        <v>5609.625</v>
      </c>
      <c r="I156" s="52">
        <v>6137.2049999999999</v>
      </c>
      <c r="J156" s="52">
        <v>5730.1390000000001</v>
      </c>
      <c r="K156" s="52">
        <v>6423.366</v>
      </c>
    </row>
    <row r="157" spans="2:11" ht="15" customHeight="1" outlineLevel="1" x14ac:dyDescent="0.25">
      <c r="B157" s="50" t="s">
        <v>197</v>
      </c>
      <c r="C157" s="3"/>
      <c r="D157" s="3"/>
      <c r="E157" s="3"/>
      <c r="F157" s="3">
        <v>4.5810000000000004</v>
      </c>
      <c r="G157" s="3">
        <v>3.8420000000000001</v>
      </c>
      <c r="H157" s="3">
        <v>1.87</v>
      </c>
      <c r="I157" s="3">
        <v>5.8479999999999999</v>
      </c>
      <c r="J157" s="3">
        <v>5.6929999999999996</v>
      </c>
      <c r="K157" s="3">
        <v>6.1950000000000003</v>
      </c>
    </row>
    <row r="158" spans="2:11" ht="15" customHeight="1" outlineLevel="1" x14ac:dyDescent="0.25">
      <c r="B158" s="27" t="s">
        <v>198</v>
      </c>
      <c r="C158" s="3"/>
      <c r="D158" s="3"/>
      <c r="E158" s="3"/>
      <c r="F158" s="3">
        <v>18.344000000000001</v>
      </c>
      <c r="G158" s="3">
        <v>19.356999999999999</v>
      </c>
      <c r="H158" s="3">
        <v>26.523</v>
      </c>
      <c r="I158" s="3">
        <v>25.564</v>
      </c>
      <c r="J158" s="3">
        <v>22.288</v>
      </c>
      <c r="K158" s="3">
        <v>20.02</v>
      </c>
    </row>
    <row r="159" spans="2:11" ht="15" customHeight="1" outlineLevel="1" x14ac:dyDescent="0.25">
      <c r="B159" s="27" t="s">
        <v>199</v>
      </c>
      <c r="C159" s="3"/>
      <c r="D159" s="3"/>
      <c r="E159" s="3"/>
      <c r="F159" s="3" t="s">
        <v>154</v>
      </c>
      <c r="G159" s="3" t="s">
        <v>154</v>
      </c>
      <c r="H159" s="3" t="s">
        <v>154</v>
      </c>
      <c r="I159" s="3" t="s">
        <v>154</v>
      </c>
      <c r="J159" s="3" t="s">
        <v>154</v>
      </c>
      <c r="K159" s="3" t="s">
        <v>154</v>
      </c>
    </row>
    <row r="160" spans="2:11" ht="15" customHeight="1" outlineLevel="1" x14ac:dyDescent="0.25">
      <c r="B160" s="27" t="s">
        <v>200</v>
      </c>
      <c r="C160" s="3"/>
      <c r="D160" s="3"/>
      <c r="E160" s="3"/>
      <c r="F160" s="3">
        <v>1.4E-2</v>
      </c>
      <c r="G160" s="3">
        <v>1.6E-2</v>
      </c>
      <c r="H160" s="3">
        <v>3.3000000000000002E-2</v>
      </c>
      <c r="I160" s="3">
        <v>4.2000000000000003E-2</v>
      </c>
      <c r="J160" s="3">
        <v>4.7E-2</v>
      </c>
      <c r="K160" s="3">
        <v>5.2999999999999999E-2</v>
      </c>
    </row>
    <row r="161" spans="1:11" ht="15" customHeight="1" outlineLevel="1" x14ac:dyDescent="0.25">
      <c r="B161" s="27" t="s">
        <v>201</v>
      </c>
      <c r="C161" s="3"/>
      <c r="D161" s="3"/>
      <c r="E161" s="3"/>
      <c r="F161" s="3">
        <v>45.250999999999998</v>
      </c>
      <c r="G161" s="3">
        <v>48.874000000000002</v>
      </c>
      <c r="H161" s="3">
        <v>50.546999999999997</v>
      </c>
      <c r="I161" s="3">
        <v>56.883000000000003</v>
      </c>
      <c r="J161" s="3">
        <v>52.732999999999997</v>
      </c>
      <c r="K161" s="3">
        <v>59.225999999999999</v>
      </c>
    </row>
    <row r="162" spans="1:11" ht="15" customHeight="1" outlineLevel="1" x14ac:dyDescent="0.25">
      <c r="A162" s="65" t="s">
        <v>165</v>
      </c>
      <c r="B162" s="51" t="s">
        <v>159</v>
      </c>
      <c r="C162" s="52">
        <v>58.322000000000003</v>
      </c>
      <c r="D162" s="52">
        <v>45.713000000000001</v>
      </c>
      <c r="E162" s="52">
        <v>45.491999999999997</v>
      </c>
      <c r="F162" s="52">
        <v>68.19</v>
      </c>
      <c r="G162" s="52">
        <v>72.088999999999999</v>
      </c>
      <c r="H162" s="52">
        <v>78.972999999999999</v>
      </c>
      <c r="I162" s="52">
        <v>88.337000000000003</v>
      </c>
      <c r="J162" s="52">
        <v>80.760999999999996</v>
      </c>
      <c r="K162" s="52">
        <v>85.494</v>
      </c>
    </row>
    <row r="165" spans="1:11" ht="20.100000000000001" customHeight="1" outlineLevel="1" x14ac:dyDescent="0.25">
      <c r="B165" s="36" t="s">
        <v>124</v>
      </c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outlineLevel="1" x14ac:dyDescent="0.25">
      <c r="B166" s="38" t="s">
        <v>65</v>
      </c>
      <c r="C166" s="39" t="s">
        <v>188</v>
      </c>
      <c r="D166" s="39" t="s">
        <v>190</v>
      </c>
      <c r="E166" s="39" t="s">
        <v>193</v>
      </c>
      <c r="F166" s="39">
        <v>2019</v>
      </c>
      <c r="G166" s="39" t="s">
        <v>195</v>
      </c>
      <c r="H166" s="39" t="s">
        <v>221</v>
      </c>
      <c r="I166" s="39" t="s">
        <v>228</v>
      </c>
      <c r="J166" s="39">
        <v>2020</v>
      </c>
      <c r="K166" s="39" t="s">
        <v>245</v>
      </c>
    </row>
    <row r="167" spans="1:11" ht="15" customHeight="1" outlineLevel="1" x14ac:dyDescent="0.25">
      <c r="B167" s="50" t="s">
        <v>125</v>
      </c>
      <c r="C167" s="3">
        <v>780.90499999999997</v>
      </c>
      <c r="D167" s="3">
        <v>1179.3610000000001</v>
      </c>
      <c r="E167" s="3">
        <v>1436.3489999999999</v>
      </c>
      <c r="F167" s="3">
        <v>1414.8589999999999</v>
      </c>
      <c r="G167" s="3">
        <v>46.359000000000002</v>
      </c>
      <c r="H167" s="3">
        <v>141.422</v>
      </c>
      <c r="I167" s="3">
        <v>127.96</v>
      </c>
      <c r="J167" s="3">
        <v>-67.397999999999996</v>
      </c>
      <c r="K167" s="3">
        <v>409.37799999999999</v>
      </c>
    </row>
    <row r="168" spans="1:11" ht="15" customHeight="1" outlineLevel="1" x14ac:dyDescent="0.25">
      <c r="B168" s="27" t="s">
        <v>126</v>
      </c>
      <c r="C168" s="3">
        <v>203.346</v>
      </c>
      <c r="D168" s="3">
        <v>400.375</v>
      </c>
      <c r="E168" s="3">
        <v>600.23</v>
      </c>
      <c r="F168" s="3">
        <v>772.61900000000003</v>
      </c>
      <c r="G168" s="3">
        <v>145.00899999999999</v>
      </c>
      <c r="H168" s="3">
        <v>229.72399999999999</v>
      </c>
      <c r="I168" s="3">
        <v>402.05500000000001</v>
      </c>
      <c r="J168" s="3">
        <v>901.53099999999995</v>
      </c>
      <c r="K168" s="3">
        <v>143.43899999999999</v>
      </c>
    </row>
    <row r="169" spans="1:11" ht="15" customHeight="1" outlineLevel="1" x14ac:dyDescent="0.25">
      <c r="B169" s="27" t="s">
        <v>127</v>
      </c>
      <c r="C169" s="3">
        <v>-564.49</v>
      </c>
      <c r="D169" s="3">
        <v>-685.13800000000003</v>
      </c>
      <c r="E169" s="3">
        <v>-1155.952</v>
      </c>
      <c r="F169" s="3">
        <v>-1059.8340000000001</v>
      </c>
      <c r="G169" s="3">
        <v>412.42399999999998</v>
      </c>
      <c r="H169" s="3">
        <v>-484.78300000000002</v>
      </c>
      <c r="I169" s="3">
        <v>-1367.414</v>
      </c>
      <c r="J169" s="3">
        <v>-1235.7539999999999</v>
      </c>
      <c r="K169" s="3">
        <v>-322.875</v>
      </c>
    </row>
    <row r="170" spans="1:11" ht="15" customHeight="1" outlineLevel="1" x14ac:dyDescent="0.25">
      <c r="B170" s="6" t="s">
        <v>129</v>
      </c>
      <c r="C170" s="7">
        <v>266.74400000000003</v>
      </c>
      <c r="D170" s="7">
        <v>712.57299999999998</v>
      </c>
      <c r="E170" s="7">
        <v>647.11699999999996</v>
      </c>
      <c r="F170" s="7">
        <v>771.53899999999999</v>
      </c>
      <c r="G170" s="7">
        <v>164.30099999999999</v>
      </c>
      <c r="H170" s="7">
        <v>-569.90300000000002</v>
      </c>
      <c r="I170" s="7">
        <v>-1358.7159999999999</v>
      </c>
      <c r="J170" s="7">
        <v>-1089.049</v>
      </c>
      <c r="K170" s="7">
        <v>133.489</v>
      </c>
    </row>
    <row r="171" spans="1:11" ht="15" customHeight="1" outlineLevel="1" x14ac:dyDescent="0.25">
      <c r="B171" s="27" t="s">
        <v>130</v>
      </c>
      <c r="C171" s="3">
        <f>-58.59+1.488</f>
        <v>-57.102000000000004</v>
      </c>
      <c r="D171" s="3">
        <f>-114.506+4.783</f>
        <v>-109.723</v>
      </c>
      <c r="E171" s="3">
        <f>-162.205+5.547</f>
        <v>-156.65800000000002</v>
      </c>
      <c r="F171" s="3">
        <f>-(285.51)+49.462</f>
        <v>-236.048</v>
      </c>
      <c r="G171" s="3">
        <f>(-72.733)+7.528</f>
        <v>-65.204999999999998</v>
      </c>
      <c r="H171" s="3">
        <f>-284.642+21.276</f>
        <v>-263.36599999999999</v>
      </c>
      <c r="I171" s="3">
        <f>-380.505+19.972</f>
        <v>-360.53300000000002</v>
      </c>
      <c r="J171" s="3">
        <f>-566.269+29.628</f>
        <v>-536.64099999999996</v>
      </c>
      <c r="K171" s="3">
        <f>+(-99.91)+2.304</f>
        <v>-97.605999999999995</v>
      </c>
    </row>
    <row r="172" spans="1:11" ht="15" customHeight="1" outlineLevel="1" x14ac:dyDescent="0.25">
      <c r="B172" s="27" t="s">
        <v>131</v>
      </c>
      <c r="C172" s="85">
        <v>-12.179000000000002</v>
      </c>
      <c r="D172" s="85">
        <v>-116.337</v>
      </c>
      <c r="E172" s="85">
        <v>-112.77799999999996</v>
      </c>
      <c r="F172" s="85">
        <v>-157.03300000000002</v>
      </c>
      <c r="G172" s="85">
        <v>-374.43900000000002</v>
      </c>
      <c r="H172" s="3">
        <v>-724.05899999999997</v>
      </c>
      <c r="I172" s="3">
        <v>-998.18299999999988</v>
      </c>
      <c r="J172" s="3">
        <v>-713.44600000000003</v>
      </c>
      <c r="K172" s="3">
        <v>-55.373999999999995</v>
      </c>
    </row>
    <row r="173" spans="1:11" ht="15" customHeight="1" outlineLevel="1" x14ac:dyDescent="0.25">
      <c r="B173" s="6" t="s">
        <v>128</v>
      </c>
      <c r="C173" s="53">
        <v>-69.281000000000006</v>
      </c>
      <c r="D173" s="53">
        <v>-226.06</v>
      </c>
      <c r="E173" s="53">
        <v>-269.43599999999998</v>
      </c>
      <c r="F173" s="53">
        <v>-393.08100000000002</v>
      </c>
      <c r="G173" s="53">
        <v>-439.64400000000001</v>
      </c>
      <c r="H173" s="7">
        <v>-987.42499999999995</v>
      </c>
      <c r="I173" s="7">
        <v>-1186.117</v>
      </c>
      <c r="J173" s="7">
        <v>-1250.087</v>
      </c>
      <c r="K173" s="7">
        <v>-152.97999999999999</v>
      </c>
    </row>
    <row r="174" spans="1:11" ht="15" customHeight="1" outlineLevel="1" x14ac:dyDescent="0.25">
      <c r="B174" s="27" t="s">
        <v>148</v>
      </c>
      <c r="C174" s="3">
        <f>144.453-(513.131)</f>
        <v>-368.678</v>
      </c>
      <c r="D174" s="3">
        <f>328.66-720.223</f>
        <v>-391.56299999999993</v>
      </c>
      <c r="E174" s="3">
        <f>386.034-(928.728)</f>
        <v>-542.69399999999996</v>
      </c>
      <c r="F174" s="3">
        <f>-1307.551+865.11</f>
        <v>-442.44099999999992</v>
      </c>
      <c r="G174" s="3">
        <f>(-440.327)+339.904</f>
        <v>-100.423</v>
      </c>
      <c r="H174" s="3">
        <f>877.733-505.977</f>
        <v>371.75599999999997</v>
      </c>
      <c r="I174" s="3">
        <f>1815.418-797.75</f>
        <v>1017.6679999999999</v>
      </c>
      <c r="J174" s="3">
        <f>2292.683-(964.639)</f>
        <v>1328.0439999999999</v>
      </c>
      <c r="K174" s="3">
        <f>195.861-179.804</f>
        <v>16.056999999999988</v>
      </c>
    </row>
    <row r="175" spans="1:11" ht="15" customHeight="1" outlineLevel="1" x14ac:dyDescent="0.25">
      <c r="B175" s="27" t="s">
        <v>138</v>
      </c>
      <c r="C175" s="85" t="s">
        <v>154</v>
      </c>
      <c r="D175" s="3">
        <v>-450.97199999999998</v>
      </c>
      <c r="E175" s="3">
        <v>-450.97199999999998</v>
      </c>
      <c r="F175" s="3">
        <v>-450.97199999999998</v>
      </c>
      <c r="G175" s="3" t="s">
        <v>154</v>
      </c>
      <c r="H175" s="3">
        <v>-243.07400000000001</v>
      </c>
      <c r="I175" s="3">
        <v>-385.238</v>
      </c>
      <c r="J175" s="3">
        <v>-385.238</v>
      </c>
      <c r="K175" s="3">
        <v>-71.081999999999994</v>
      </c>
    </row>
    <row r="176" spans="1:11" ht="15" customHeight="1" outlineLevel="1" x14ac:dyDescent="0.25">
      <c r="B176" s="6" t="s">
        <v>132</v>
      </c>
      <c r="C176" s="7">
        <v>-369.649</v>
      </c>
      <c r="D176" s="7">
        <v>-844.63599999999997</v>
      </c>
      <c r="E176" s="7">
        <v>-996.31500000000005</v>
      </c>
      <c r="F176" s="7">
        <v>-946.41200000000003</v>
      </c>
      <c r="G176" s="7">
        <v>-112.887</v>
      </c>
      <c r="H176" s="7">
        <v>107.676</v>
      </c>
      <c r="I176" s="7">
        <v>600.81700000000001</v>
      </c>
      <c r="J176" s="7">
        <v>899.07299999999998</v>
      </c>
      <c r="K176" s="7">
        <v>-65.334000000000003</v>
      </c>
    </row>
    <row r="177" spans="1:11" ht="15" customHeight="1" outlineLevel="1" x14ac:dyDescent="0.25">
      <c r="A177" s="65" t="s">
        <v>165</v>
      </c>
      <c r="B177" s="51" t="s">
        <v>133</v>
      </c>
      <c r="C177" s="52">
        <v>-61.174999999999997</v>
      </c>
      <c r="D177" s="52">
        <v>-289.35000000000002</v>
      </c>
      <c r="E177" s="52">
        <v>-604.57399999999996</v>
      </c>
      <c r="F177" s="52">
        <v>-486.97500000000002</v>
      </c>
      <c r="G177" s="52">
        <v>-159.17500000000001</v>
      </c>
      <c r="H177" s="52">
        <v>-1079.865</v>
      </c>
      <c r="I177" s="52">
        <v>-1150.402</v>
      </c>
      <c r="J177" s="52">
        <v>-835.50900000000001</v>
      </c>
      <c r="K177" s="52">
        <v>154.095</v>
      </c>
    </row>
    <row r="178" spans="1:11" x14ac:dyDescent="0.25">
      <c r="J178" s="3"/>
    </row>
    <row r="180" spans="1:11" ht="20.100000000000001" customHeight="1" outlineLevel="1" x14ac:dyDescent="0.25">
      <c r="B180" s="36" t="s">
        <v>161</v>
      </c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outlineLevel="1" x14ac:dyDescent="0.25">
      <c r="B181" s="38" t="s">
        <v>65</v>
      </c>
      <c r="C181" s="39" t="s">
        <v>188</v>
      </c>
      <c r="D181" s="39" t="s">
        <v>190</v>
      </c>
      <c r="E181" s="39" t="s">
        <v>193</v>
      </c>
      <c r="F181" s="39">
        <v>2019</v>
      </c>
      <c r="G181" s="39" t="s">
        <v>195</v>
      </c>
      <c r="H181" s="39" t="s">
        <v>221</v>
      </c>
      <c r="I181" s="39" t="s">
        <v>228</v>
      </c>
      <c r="J181" s="39">
        <v>2020</v>
      </c>
      <c r="K181" s="39" t="s">
        <v>245</v>
      </c>
    </row>
    <row r="182" spans="1:11" ht="15" customHeight="1" outlineLevel="1" x14ac:dyDescent="0.25">
      <c r="B182" s="50" t="s">
        <v>197</v>
      </c>
      <c r="C182" s="3">
        <v>32.531999999999996</v>
      </c>
      <c r="D182" s="3">
        <v>51.906999999999996</v>
      </c>
      <c r="E182" s="3">
        <v>64.016999999999996</v>
      </c>
      <c r="F182" s="3">
        <v>107.72</v>
      </c>
      <c r="G182" s="3">
        <v>40.884</v>
      </c>
      <c r="H182" s="3">
        <v>112.376</v>
      </c>
      <c r="I182" s="3">
        <v>134.67599999999999</v>
      </c>
      <c r="J182" s="3">
        <v>243.99700000000001</v>
      </c>
      <c r="K182" s="3">
        <v>70.656000000000006</v>
      </c>
    </row>
    <row r="183" spans="1:11" ht="15" customHeight="1" outlineLevel="1" x14ac:dyDescent="0.25">
      <c r="B183" s="27" t="s">
        <v>198</v>
      </c>
      <c r="C183" s="3">
        <v>4.8710000000000004</v>
      </c>
      <c r="D183" s="3">
        <v>27.023</v>
      </c>
      <c r="E183" s="3">
        <v>29.449000000000002</v>
      </c>
      <c r="F183" s="3">
        <v>57.192</v>
      </c>
      <c r="G183" s="3">
        <v>21.077999999999999</v>
      </c>
      <c r="H183" s="3">
        <v>128.167</v>
      </c>
      <c r="I183" s="3">
        <v>186.017</v>
      </c>
      <c r="J183" s="3">
        <v>240.53200000000001</v>
      </c>
      <c r="K183" s="3">
        <v>23.789000000000001</v>
      </c>
    </row>
    <row r="184" spans="1:11" ht="15" customHeight="1" outlineLevel="1" x14ac:dyDescent="0.25">
      <c r="B184" s="27" t="s">
        <v>199</v>
      </c>
      <c r="C184" s="3">
        <v>16.001000000000001</v>
      </c>
      <c r="D184" s="3">
        <v>16.001000000000001</v>
      </c>
      <c r="E184" s="3">
        <v>41.408000000000001</v>
      </c>
      <c r="F184" s="3">
        <v>51.631</v>
      </c>
      <c r="G184" s="3">
        <v>5.242</v>
      </c>
      <c r="H184" s="3">
        <v>27.936</v>
      </c>
      <c r="I184" s="3">
        <v>35.409999999999997</v>
      </c>
      <c r="J184" s="3">
        <v>42.779000000000003</v>
      </c>
      <c r="K184" s="3">
        <v>1.99</v>
      </c>
    </row>
    <row r="185" spans="1:11" ht="15" customHeight="1" outlineLevel="1" x14ac:dyDescent="0.25">
      <c r="B185" s="27" t="s">
        <v>200</v>
      </c>
      <c r="C185" s="3">
        <v>3.7810000000000001</v>
      </c>
      <c r="D185" s="3">
        <v>11.326000000000001</v>
      </c>
      <c r="E185" s="3">
        <v>17.385000000000002</v>
      </c>
      <c r="F185" s="3">
        <v>62.207000000000001</v>
      </c>
      <c r="G185" s="3">
        <v>4.9210000000000003</v>
      </c>
      <c r="H185" s="3">
        <v>13.292999999999999</v>
      </c>
      <c r="I185" s="3">
        <v>20.716999999999999</v>
      </c>
      <c r="J185" s="3">
        <v>30.934000000000001</v>
      </c>
      <c r="K185" s="3">
        <v>3.2690000000000001</v>
      </c>
    </row>
    <row r="186" spans="1:11" ht="15" customHeight="1" outlineLevel="1" x14ac:dyDescent="0.25">
      <c r="B186" s="27" t="s">
        <v>201</v>
      </c>
      <c r="C186" s="3">
        <v>1.405</v>
      </c>
      <c r="D186" s="3">
        <v>9.2739999999999991</v>
      </c>
      <c r="E186" s="3">
        <v>11.715999999999999</v>
      </c>
      <c r="F186" s="3">
        <v>13.034000000000001</v>
      </c>
      <c r="G186" s="3">
        <v>0.60799999999999998</v>
      </c>
      <c r="H186" s="3">
        <v>2.87</v>
      </c>
      <c r="I186" s="3">
        <v>5.1420000000000003</v>
      </c>
      <c r="J186" s="3">
        <v>9.484</v>
      </c>
      <c r="K186" s="3">
        <v>0.20599999999999999</v>
      </c>
    </row>
    <row r="187" spans="1:11" ht="15" customHeight="1" outlineLevel="1" x14ac:dyDescent="0.25">
      <c r="B187" s="51" t="s">
        <v>162</v>
      </c>
      <c r="C187" s="52">
        <v>58.59</v>
      </c>
      <c r="D187" s="52">
        <v>115.53100000000001</v>
      </c>
      <c r="E187" s="52">
        <v>163.97499999999999</v>
      </c>
      <c r="F187" s="52">
        <v>291.78399999999999</v>
      </c>
      <c r="G187" s="52">
        <v>72.733000000000004</v>
      </c>
      <c r="H187" s="52">
        <v>284.642</v>
      </c>
      <c r="I187" s="52">
        <v>381.96199999999999</v>
      </c>
      <c r="J187" s="52">
        <v>567.726</v>
      </c>
      <c r="K187" s="52">
        <v>99.91</v>
      </c>
    </row>
    <row r="188" spans="1:11" ht="15" customHeight="1" outlineLevel="1" x14ac:dyDescent="0.25">
      <c r="B188" s="50" t="s">
        <v>197</v>
      </c>
      <c r="C188" s="3">
        <v>39.43</v>
      </c>
      <c r="D188" s="3">
        <v>97.793999999999997</v>
      </c>
      <c r="E188" s="3">
        <v>146.05600000000001</v>
      </c>
      <c r="F188" s="3">
        <v>192.94399999999999</v>
      </c>
      <c r="G188" s="3">
        <v>44.896000000000001</v>
      </c>
      <c r="H188" s="3">
        <v>89.409000000000006</v>
      </c>
      <c r="I188" s="3">
        <v>142.76599999999999</v>
      </c>
      <c r="J188" s="3">
        <v>198.29</v>
      </c>
      <c r="K188" s="3">
        <v>56.838999999999999</v>
      </c>
    </row>
    <row r="189" spans="1:11" ht="15" customHeight="1" outlineLevel="1" x14ac:dyDescent="0.25">
      <c r="B189" s="27" t="s">
        <v>198</v>
      </c>
      <c r="C189" s="3">
        <v>18.175999999999998</v>
      </c>
      <c r="D189" s="3">
        <v>31.523</v>
      </c>
      <c r="E189" s="3">
        <v>45.743000000000002</v>
      </c>
      <c r="F189" s="3">
        <v>65.222999999999999</v>
      </c>
      <c r="G189" s="3">
        <v>19.734999999999999</v>
      </c>
      <c r="H189" s="3">
        <v>30.736999999999998</v>
      </c>
      <c r="I189" s="3">
        <v>57.11</v>
      </c>
      <c r="J189" s="3">
        <v>76.718999999999994</v>
      </c>
      <c r="K189" s="3">
        <v>20.023</v>
      </c>
    </row>
    <row r="190" spans="1:11" ht="15" customHeight="1" outlineLevel="1" x14ac:dyDescent="0.25">
      <c r="B190" s="27" t="s">
        <v>199</v>
      </c>
      <c r="C190" s="3">
        <v>2.4929999999999999</v>
      </c>
      <c r="D190" s="3">
        <v>5.4219999999999997</v>
      </c>
      <c r="E190" s="3">
        <v>6.4189999999999996</v>
      </c>
      <c r="F190" s="3">
        <v>10.010999999999999</v>
      </c>
      <c r="G190" s="3">
        <v>2.8660000000000001</v>
      </c>
      <c r="H190" s="3">
        <v>6.7670000000000003</v>
      </c>
      <c r="I190" s="3">
        <v>10.432</v>
      </c>
      <c r="J190" s="3">
        <v>14.885</v>
      </c>
      <c r="K190" s="3">
        <v>5.2350000000000003</v>
      </c>
    </row>
    <row r="191" spans="1:11" ht="15" customHeight="1" outlineLevel="1" x14ac:dyDescent="0.25">
      <c r="B191" s="27" t="s">
        <v>200</v>
      </c>
      <c r="C191" s="3">
        <v>2.363</v>
      </c>
      <c r="D191" s="3">
        <v>5.2770000000000001</v>
      </c>
      <c r="E191" s="3">
        <v>7.798</v>
      </c>
      <c r="F191" s="3">
        <v>11.624000000000001</v>
      </c>
      <c r="G191" s="3">
        <v>3.08</v>
      </c>
      <c r="H191" s="3">
        <v>6.4160000000000004</v>
      </c>
      <c r="I191" s="3">
        <v>9.9149999999999991</v>
      </c>
      <c r="J191" s="3">
        <v>13.557</v>
      </c>
      <c r="K191" s="3">
        <v>3.4020000000000001</v>
      </c>
    </row>
    <row r="192" spans="1:11" ht="15" customHeight="1" outlineLevel="1" x14ac:dyDescent="0.25">
      <c r="B192" s="27" t="s">
        <v>201</v>
      </c>
      <c r="C192" s="3">
        <v>1.976</v>
      </c>
      <c r="D192" s="3">
        <v>3.52</v>
      </c>
      <c r="E192" s="3">
        <v>6.5309999999999997</v>
      </c>
      <c r="F192" s="3">
        <v>9.3059999999999992</v>
      </c>
      <c r="G192" s="3">
        <v>2.7629999999999999</v>
      </c>
      <c r="H192" s="3">
        <v>5.9169999999999998</v>
      </c>
      <c r="I192" s="3">
        <v>8.6969999999999992</v>
      </c>
      <c r="J192" s="3">
        <v>11.567</v>
      </c>
      <c r="K192" s="3">
        <v>3.6869999999999998</v>
      </c>
    </row>
    <row r="193" spans="1:11" ht="15" customHeight="1" outlineLevel="1" x14ac:dyDescent="0.25">
      <c r="A193" s="65" t="s">
        <v>165</v>
      </c>
      <c r="B193" s="51" t="s">
        <v>163</v>
      </c>
      <c r="C193" s="52">
        <v>64.438000000000002</v>
      </c>
      <c r="D193" s="52">
        <v>143.53599999999997</v>
      </c>
      <c r="E193" s="52">
        <v>212.547</v>
      </c>
      <c r="F193" s="52">
        <v>289.108</v>
      </c>
      <c r="G193" s="52">
        <v>73.34</v>
      </c>
      <c r="H193" s="52">
        <v>139.24600000000001</v>
      </c>
      <c r="I193" s="52">
        <v>228.92</v>
      </c>
      <c r="J193" s="52">
        <v>315.01799999999997</v>
      </c>
      <c r="K193" s="52">
        <v>89.186000000000007</v>
      </c>
    </row>
    <row r="194" spans="1:11" x14ac:dyDescent="0.25">
      <c r="A194" s="65"/>
      <c r="B194" s="42"/>
    </row>
    <row r="195" spans="1:11" x14ac:dyDescent="0.25">
      <c r="A195" s="65"/>
      <c r="B195" s="42"/>
    </row>
    <row r="196" spans="1:11" ht="20.100000000000001" customHeight="1" outlineLevel="1" x14ac:dyDescent="0.25">
      <c r="B196" s="36" t="s">
        <v>166</v>
      </c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outlineLevel="1" x14ac:dyDescent="0.25">
      <c r="B197" s="38" t="s">
        <v>65</v>
      </c>
      <c r="C197" s="39" t="s">
        <v>188</v>
      </c>
      <c r="D197" s="39" t="s">
        <v>190</v>
      </c>
      <c r="E197" s="39" t="s">
        <v>193</v>
      </c>
      <c r="F197" s="39">
        <v>2019</v>
      </c>
      <c r="G197" s="39" t="s">
        <v>195</v>
      </c>
      <c r="H197" s="39" t="s">
        <v>221</v>
      </c>
      <c r="I197" s="39" t="s">
        <v>228</v>
      </c>
      <c r="J197" s="39">
        <v>2020</v>
      </c>
      <c r="K197" s="39" t="s">
        <v>245</v>
      </c>
    </row>
    <row r="198" spans="1:11" ht="15" customHeight="1" outlineLevel="1" x14ac:dyDescent="0.25">
      <c r="B198" s="50" t="s">
        <v>197</v>
      </c>
      <c r="C198" s="3"/>
      <c r="D198" s="3"/>
      <c r="E198" s="3"/>
      <c r="F198" s="3">
        <v>1562.0299</v>
      </c>
      <c r="G198" s="3">
        <v>1257.6210000000001</v>
      </c>
      <c r="H198" s="3">
        <v>488.63400000000001</v>
      </c>
      <c r="I198" s="3">
        <v>-483</v>
      </c>
      <c r="J198" s="3">
        <v>-336.44799999999998</v>
      </c>
      <c r="K198" s="3">
        <v>-855.07600000000002</v>
      </c>
    </row>
    <row r="199" spans="1:11" ht="15" customHeight="1" outlineLevel="1" x14ac:dyDescent="0.25">
      <c r="B199" s="27" t="s">
        <v>198</v>
      </c>
      <c r="C199" s="3"/>
      <c r="D199" s="3"/>
      <c r="E199" s="3"/>
      <c r="F199" s="3">
        <v>569.62900000000002</v>
      </c>
      <c r="G199" s="3">
        <v>408.76900000000001</v>
      </c>
      <c r="H199" s="3">
        <v>146.74799999999999</v>
      </c>
      <c r="I199" s="3">
        <v>224</v>
      </c>
      <c r="J199" s="3">
        <v>347.18200000000002</v>
      </c>
      <c r="K199" s="3">
        <v>889.71</v>
      </c>
    </row>
    <row r="200" spans="1:11" ht="15" customHeight="1" outlineLevel="1" x14ac:dyDescent="0.25">
      <c r="B200" s="27" t="s">
        <v>199</v>
      </c>
      <c r="C200" s="3"/>
      <c r="D200" s="3"/>
      <c r="E200" s="3"/>
      <c r="F200" s="3">
        <v>-47.063300000000005</v>
      </c>
      <c r="G200" s="3">
        <v>-60.313000000000002</v>
      </c>
      <c r="H200" s="3">
        <v>-122.461</v>
      </c>
      <c r="I200" s="3">
        <v>-153</v>
      </c>
      <c r="J200" s="3">
        <v>-176.11779999999999</v>
      </c>
      <c r="K200" s="3">
        <v>-199.0154</v>
      </c>
    </row>
    <row r="201" spans="1:11" ht="15" customHeight="1" outlineLevel="1" x14ac:dyDescent="0.25">
      <c r="B201" s="27" t="s">
        <v>200</v>
      </c>
      <c r="C201" s="3"/>
      <c r="D201" s="3"/>
      <c r="E201" s="3"/>
      <c r="F201" s="3">
        <v>11.2872</v>
      </c>
      <c r="G201" s="3">
        <v>45.056199999999997</v>
      </c>
      <c r="H201" s="3">
        <v>158.37799999999999</v>
      </c>
      <c r="I201" s="3">
        <v>180</v>
      </c>
      <c r="J201" s="3">
        <v>178.49600000000001</v>
      </c>
      <c r="K201" s="3">
        <v>98.876100000000008</v>
      </c>
    </row>
    <row r="202" spans="1:11" ht="15" customHeight="1" outlineLevel="1" x14ac:dyDescent="0.25">
      <c r="B202" s="27" t="s">
        <v>201</v>
      </c>
      <c r="C202" s="3"/>
      <c r="D202" s="3"/>
      <c r="E202" s="3"/>
      <c r="F202" s="3">
        <v>1233.1412</v>
      </c>
      <c r="G202" s="3">
        <v>1680.4253999999999</v>
      </c>
      <c r="H202" s="3">
        <v>1147.4369999999999</v>
      </c>
      <c r="I202" s="3">
        <v>1130</v>
      </c>
      <c r="J202" s="3">
        <v>1033.2070000000001</v>
      </c>
      <c r="K202" s="3">
        <v>1073.1110000000001</v>
      </c>
    </row>
    <row r="203" spans="1:11" ht="15" customHeight="1" outlineLevel="1" x14ac:dyDescent="0.25">
      <c r="A203" s="65" t="s">
        <v>165</v>
      </c>
      <c r="B203" s="51" t="s">
        <v>167</v>
      </c>
      <c r="C203" s="52">
        <v>4201</v>
      </c>
      <c r="D203" s="52">
        <v>3606.0320000000002</v>
      </c>
      <c r="E203" s="52">
        <v>3508.4549999999999</v>
      </c>
      <c r="F203" s="52">
        <v>3329.0230000000001</v>
      </c>
      <c r="G203" s="52">
        <v>3331.5577000000003</v>
      </c>
      <c r="H203" s="52">
        <v>1818.7360000000001</v>
      </c>
      <c r="I203" s="52">
        <v>899</v>
      </c>
      <c r="J203" s="52">
        <v>1046.3192000000001</v>
      </c>
      <c r="K203" s="52">
        <v>1007.6057000000002</v>
      </c>
    </row>
    <row r="204" spans="1:11" x14ac:dyDescent="0.25">
      <c r="A204" s="65"/>
      <c r="B204" s="42"/>
    </row>
    <row r="206" spans="1:11" ht="20.100000000000001" customHeight="1" outlineLevel="1" x14ac:dyDescent="0.25">
      <c r="B206" s="36" t="s">
        <v>139</v>
      </c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outlineLevel="1" x14ac:dyDescent="0.25">
      <c r="B207" s="38" t="s">
        <v>65</v>
      </c>
      <c r="C207" s="39" t="s">
        <v>188</v>
      </c>
      <c r="D207" s="39" t="s">
        <v>190</v>
      </c>
      <c r="E207" s="39" t="s">
        <v>193</v>
      </c>
      <c r="F207" s="39">
        <v>2019</v>
      </c>
      <c r="G207" s="39" t="s">
        <v>195</v>
      </c>
      <c r="H207" s="39" t="s">
        <v>221</v>
      </c>
      <c r="I207" s="39" t="s">
        <v>228</v>
      </c>
      <c r="J207" s="39">
        <v>2020</v>
      </c>
      <c r="K207" s="39" t="s">
        <v>245</v>
      </c>
    </row>
    <row r="208" spans="1:11" ht="15" customHeight="1" outlineLevel="1" x14ac:dyDescent="0.25">
      <c r="B208" s="10" t="s">
        <v>149</v>
      </c>
      <c r="C208" s="13">
        <v>-4201</v>
      </c>
      <c r="D208" s="13">
        <v>-3606.0320000000002</v>
      </c>
      <c r="E208" s="13">
        <v>-3510.402</v>
      </c>
      <c r="F208" s="3">
        <v>-3329.0228999999999</v>
      </c>
      <c r="G208" s="3">
        <v>-3331.5576999999998</v>
      </c>
      <c r="H208" s="3">
        <v>-1818.7360000000001</v>
      </c>
      <c r="I208" s="3">
        <v>-899</v>
      </c>
      <c r="J208" s="3">
        <v>-1046.3191999999999</v>
      </c>
      <c r="K208" s="3">
        <v>-1007.6057</v>
      </c>
    </row>
    <row r="209" spans="1:11" ht="15" customHeight="1" outlineLevel="1" x14ac:dyDescent="0.25">
      <c r="B209" s="41" t="s">
        <v>140</v>
      </c>
      <c r="C209" s="58">
        <v>1.9554778515717368</v>
      </c>
      <c r="D209" s="58">
        <v>1.5640685546937687</v>
      </c>
      <c r="E209" s="58">
        <v>1.514162265962554</v>
      </c>
      <c r="F209" s="95">
        <f>F208/F23*-1</f>
        <v>1.7329202081363921</v>
      </c>
      <c r="G209" s="95">
        <f>(G23+F23-C23)/G208*-1</f>
        <v>0.33079301012856543</v>
      </c>
      <c r="H209" s="95">
        <f>(H23+F23-D23)/H208*-1</f>
        <v>0.47976396794257115</v>
      </c>
      <c r="I209" s="95">
        <f>(I23+F23-E23)/I208*-1</f>
        <v>0.55472191323692988</v>
      </c>
      <c r="J209" s="95">
        <f>J208/J23*-1</f>
        <v>2.2807948521205357</v>
      </c>
      <c r="K209" s="95">
        <f>(K23+J23-G23)/K208*-1</f>
        <v>0.84481062383827343</v>
      </c>
    </row>
    <row r="210" spans="1:11" ht="15" customHeight="1" outlineLevel="1" x14ac:dyDescent="0.25">
      <c r="B210" s="41" t="s">
        <v>141</v>
      </c>
      <c r="C210" s="95">
        <f t="shared" ref="C210:I210" si="38">C208/C133*-1</f>
        <v>0.8618813139576561</v>
      </c>
      <c r="D210" s="95">
        <f t="shared" si="38"/>
        <v>0.69735329120371858</v>
      </c>
      <c r="E210" s="95">
        <f t="shared" si="38"/>
        <v>0.65113543345907532</v>
      </c>
      <c r="F210" s="95">
        <f t="shared" si="38"/>
        <v>0.60562154462448625</v>
      </c>
      <c r="G210" s="95">
        <f t="shared" si="38"/>
        <v>0.61722007706270954</v>
      </c>
      <c r="H210" s="95">
        <f t="shared" si="38"/>
        <v>0.31971603548009547</v>
      </c>
      <c r="I210" s="95">
        <f t="shared" si="38"/>
        <v>0.14440509758025888</v>
      </c>
      <c r="J210" s="95">
        <f t="shared" ref="J210:K210" si="39">J208/J133*-1</f>
        <v>0.18006147068440345</v>
      </c>
      <c r="K210" s="95">
        <f t="shared" si="39"/>
        <v>0.15480525007451382</v>
      </c>
    </row>
    <row r="211" spans="1:11" ht="15" customHeight="1" outlineLevel="1" x14ac:dyDescent="0.25">
      <c r="B211" s="41" t="s">
        <v>142</v>
      </c>
      <c r="C211" s="95">
        <f t="shared" ref="C211:I211" si="40">(C131+C132)/C133</f>
        <v>0.16791072870926452</v>
      </c>
      <c r="D211" s="95">
        <f t="shared" si="40"/>
        <v>0.16580036534335738</v>
      </c>
      <c r="E211" s="95">
        <f t="shared" si="40"/>
        <v>0.15525928267189443</v>
      </c>
      <c r="F211" s="95">
        <f t="shared" si="40"/>
        <v>0.15207672730117322</v>
      </c>
      <c r="G211" s="95">
        <f t="shared" si="40"/>
        <v>0.1372843009276945</v>
      </c>
      <c r="H211" s="95">
        <f t="shared" si="40"/>
        <v>0.21999814365507986</v>
      </c>
      <c r="I211" s="95">
        <f t="shared" si="40"/>
        <v>0.33982535175250606</v>
      </c>
      <c r="J211" s="95">
        <f t="shared" ref="J211:K211" si="41">(J131+J132)/J133</f>
        <v>0.36965134488633433</v>
      </c>
      <c r="K211" s="95">
        <f t="shared" si="41"/>
        <v>0.35686648660441306</v>
      </c>
    </row>
    <row r="212" spans="1:11" ht="15" customHeight="1" outlineLevel="1" x14ac:dyDescent="0.25">
      <c r="B212" s="41" t="s">
        <v>143</v>
      </c>
      <c r="C212" s="95">
        <f t="shared" ref="C212:I212" si="42">C129/C133</f>
        <v>2.7564133838002016</v>
      </c>
      <c r="D212" s="95">
        <f t="shared" si="42"/>
        <v>2.4097094077654995</v>
      </c>
      <c r="E212" s="95">
        <f t="shared" si="42"/>
        <v>2.2706458171379622</v>
      </c>
      <c r="F212" s="95">
        <f t="shared" si="42"/>
        <v>2.3037015610702087</v>
      </c>
      <c r="G212" s="95">
        <f t="shared" si="42"/>
        <v>2.345885511595533</v>
      </c>
      <c r="H212" s="95">
        <f t="shared" si="42"/>
        <v>2.2358802643463291</v>
      </c>
      <c r="I212" s="95">
        <f t="shared" si="42"/>
        <v>2.347899347558815</v>
      </c>
      <c r="J212" s="95">
        <f t="shared" ref="J212:K212" si="43">J129/J133</f>
        <v>2.3949875234473148</v>
      </c>
      <c r="K212" s="95">
        <f t="shared" si="43"/>
        <v>2.4011780864851913</v>
      </c>
    </row>
    <row r="213" spans="1:11" ht="15" customHeight="1" outlineLevel="1" x14ac:dyDescent="0.25">
      <c r="B213" s="41" t="s">
        <v>144</v>
      </c>
      <c r="C213" s="58">
        <v>1.3258674495855256</v>
      </c>
      <c r="D213" s="58">
        <v>1.3580654501923284</v>
      </c>
      <c r="E213" s="58">
        <v>1.4139050112512892</v>
      </c>
      <c r="F213" s="95">
        <v>1.3870722449481416</v>
      </c>
      <c r="G213" s="95">
        <f>8550.829/6681.968</f>
        <v>1.2796872119112213</v>
      </c>
      <c r="H213" s="95">
        <f>7924.878/6357.436</f>
        <v>1.2465525409929412</v>
      </c>
      <c r="I213" s="95">
        <f>9206.766/7677.233</f>
        <v>1.1992297224794402</v>
      </c>
      <c r="J213" s="95">
        <f>9013.197/7474.512</f>
        <v>1.2058575864216956</v>
      </c>
      <c r="K213" s="95">
        <f>10590.856/8463.673</f>
        <v>1.2513309528853489</v>
      </c>
    </row>
    <row r="214" spans="1:11" ht="15" customHeight="1" outlineLevel="1" x14ac:dyDescent="0.25">
      <c r="B214" s="41" t="s">
        <v>145</v>
      </c>
      <c r="C214" s="58">
        <v>0.59546493337676831</v>
      </c>
      <c r="D214" s="58">
        <v>0.65173690980210186</v>
      </c>
      <c r="E214" s="58">
        <v>0.6473765874214753</v>
      </c>
      <c r="F214" s="95">
        <v>0.61618442621655656</v>
      </c>
      <c r="G214" s="95">
        <f>3935.45/6681.968</f>
        <v>0.5889657059117912</v>
      </c>
      <c r="H214" s="95">
        <f>(3014.76+4.105)/6357.436</f>
        <v>0.47485574373064871</v>
      </c>
      <c r="I214" s="95">
        <f>2944.223/7677.233</f>
        <v>0.38350053984293558</v>
      </c>
      <c r="J214" s="95">
        <f>3259.116/7474.512</f>
        <v>0.43603060641283337</v>
      </c>
      <c r="K214" s="95">
        <f>3413.211/8463.673</f>
        <v>0.40327774950662665</v>
      </c>
    </row>
    <row r="215" spans="1:11" ht="15" customHeight="1" outlineLevel="1" x14ac:dyDescent="0.25">
      <c r="B215" s="41" t="s">
        <v>202</v>
      </c>
      <c r="C215" s="58">
        <v>1.2434449100876284</v>
      </c>
      <c r="D215" s="58">
        <v>1.3307228398401125</v>
      </c>
      <c r="E215" s="58">
        <v>1.2025398112981713</v>
      </c>
      <c r="F215" s="95">
        <v>1.1825215837550431</v>
      </c>
      <c r="G215" s="95">
        <f>(G18+F18-C18)/AVERAGE(G129,C129)</f>
        <v>0.99915394882126063</v>
      </c>
      <c r="H215" s="95">
        <f>(H18+F18-D18)/AVERAGE(H129,D129)</f>
        <v>0.95138709787338971</v>
      </c>
      <c r="I215" s="95">
        <f>(I18+F18-E18)/AVERAGE(I129,E129)</f>
        <v>0.86975423082802905</v>
      </c>
      <c r="J215" s="95">
        <f>(J18)/AVERAGE(J129,F129)</f>
        <v>0.88259587096114978</v>
      </c>
      <c r="K215" s="95">
        <f>(K18+J18-G18)/AVERAGE(K129,G129)</f>
        <v>0.88355364388654656</v>
      </c>
    </row>
    <row r="216" spans="1:11" ht="15" customHeight="1" outlineLevel="1" x14ac:dyDescent="0.25">
      <c r="B216" s="41" t="s">
        <v>146</v>
      </c>
      <c r="C216" s="46">
        <v>0.48991622754824227</v>
      </c>
      <c r="D216" s="46">
        <v>0.4789023411525149</v>
      </c>
      <c r="E216" s="46">
        <v>0.38897181131102482</v>
      </c>
      <c r="F216" s="96">
        <v>0.28521745966870155</v>
      </c>
      <c r="G216" s="96">
        <f>(G28+F28-C28)/AVERAGE(G133,C133)</f>
        <v>0.13246094710980039</v>
      </c>
      <c r="H216" s="96">
        <f>(H28+F28-D28)/AVERAGE(H133,D133)</f>
        <v>6.9416768020697558E-2</v>
      </c>
      <c r="I216" s="96">
        <f>(I28+F28-E28)/AVERAGE(I133,E133)</f>
        <v>1.8330439091232373E-2</v>
      </c>
      <c r="J216" s="96">
        <f>(J28)/AVERAGE(J133,F133)</f>
        <v>-1.1920652790072666E-2</v>
      </c>
      <c r="K216" s="96">
        <f>(K28+J28-G28)/AVERAGE(K133,G133)</f>
        <v>4.9656902902622785E-2</v>
      </c>
    </row>
    <row r="217" spans="1:11" ht="15" customHeight="1" outlineLevel="1" x14ac:dyDescent="0.25">
      <c r="A217" s="65" t="s">
        <v>165</v>
      </c>
      <c r="B217" s="59" t="s">
        <v>147</v>
      </c>
      <c r="C217" s="49">
        <v>0.16683848980353724</v>
      </c>
      <c r="D217" s="49">
        <v>0.17862225152116365</v>
      </c>
      <c r="E217" s="49">
        <v>0.1490613793709005</v>
      </c>
      <c r="F217" s="79">
        <v>0.11456966019382098</v>
      </c>
      <c r="G217" s="79">
        <f>(G28+F28-C28)/AVERAGE(G129,C129)</f>
        <v>5.213583474290772E-2</v>
      </c>
      <c r="H217" s="79">
        <f>(H28+F28-D28)/AVERAGE(H129,D129)</f>
        <v>2.9938409894893867E-2</v>
      </c>
      <c r="I217" s="79">
        <f>(I28+F28-E28)/AVERAGE(I129,E129)</f>
        <v>7.9282299718368039E-3</v>
      </c>
      <c r="J217" s="79">
        <f>(J28)/AVERAGE(J129,F129)</f>
        <v>-5.0712972947776396E-3</v>
      </c>
      <c r="K217" s="79">
        <f>(K28+J28-G28)/AVERAGE(K129,G129)</f>
        <v>2.0898385778004503E-2</v>
      </c>
    </row>
    <row r="218" spans="1:11" x14ac:dyDescent="0.25">
      <c r="G218" s="3"/>
    </row>
    <row r="219" spans="1:11" ht="14.4" x14ac:dyDescent="0.3">
      <c r="C219"/>
    </row>
  </sheetData>
  <hyperlinks>
    <hyperlink ref="A29" location="'Finansal Veriler - Yeni Segment'!A1" display="Yukarı" xr:uid="{329C35B1-8184-4437-A83D-3059F1E40AA3}"/>
    <hyperlink ref="B12" location="'Finansal Veriler - Yeni Segment'!A193" display="Maddi, maddi olmayan duran varlıklar ile ilgili bölümler bazında bilgi" xr:uid="{23E6AC96-E078-4A45-812E-3B4604A7FD48}"/>
    <hyperlink ref="B13" location="'Finansal Veriler - Yeni Segment'!A203" display="Net Nakit Durumu" xr:uid="{FAA4C718-E7B1-4C47-AA6B-2FFC51B3D949}"/>
    <hyperlink ref="A45" location="'Finansal Veriler - Yeni Segment'!A1" display="Yukarı" xr:uid="{AF82A599-9DA3-4687-B098-C00008990085}"/>
    <hyperlink ref="A67" location="'Finansal Veriler - Yeni Segment'!A1" display="Yukarı" xr:uid="{E6B88B7F-CD72-4E49-9F60-02C8E8F4F2B4}"/>
    <hyperlink ref="A104" location="'Finansal Veriler - Yeni Segment'!A1" display="Yukarı" xr:uid="{C68EFFD0-FB86-4D8A-A3A7-35FB65072CA4}"/>
    <hyperlink ref="A203" location="'Finansal Veriler - Yeni Segment'!A1" display="Yukarı" xr:uid="{A7656880-1AF3-4E39-97A2-684C35206E5C}"/>
    <hyperlink ref="A217" location="'Finansal Veriler - Yeni Segment'!A1" display="Yukarı" xr:uid="{C452E487-8791-45FE-A673-611B3B58A441}"/>
    <hyperlink ref="A193" location="'Finansal Veriler - Yeni Segment'!A1" display="Yukarı" xr:uid="{C5557D13-64A3-43FD-9B39-45F35A1A1BC6}"/>
    <hyperlink ref="A177" location="'Finansal Veriler - Yeni Segment'!A1" display="Yukarı" xr:uid="{BCFA0509-0081-4176-B9CC-3DF7D8E90267}"/>
    <hyperlink ref="A162" location="'Finansal Veriler - Yeni Segment'!A1" display="Yukarı" xr:uid="{6340E92D-1C27-4D41-99E8-41F5E61B72B2}"/>
    <hyperlink ref="A134" location="'Finansal Veriler - Yeni Segment'!A1" display="Yukarı" xr:uid="{9D7BD947-F956-4D29-AECD-E5704ACC1FE0}"/>
    <hyperlink ref="A82" location="'Finansal Veriler - Yeni Segment'!A1" display="Yukarı" xr:uid="{2E486CAA-F6FE-4BF3-B6C2-285032365A35}"/>
    <hyperlink ref="A119" location="'Finansal Veriler - Yeni Segment'!A1" display="Yukarı" xr:uid="{6648595D-4633-4A5F-A20D-A048CA07F43F}"/>
    <hyperlink ref="B8" location="'Finansal Veriler - Yeni Segment'!A119" display="Konsolide FAVÖK ve Net Kar Marjları Dağılımı (Çeyreklik)" xr:uid="{609A07CD-7BDE-4911-9661-582E16BC6F59}"/>
    <hyperlink ref="B7" location="'Finansal Veriler - Yeni Segment'!A104" display="Konsolide Gelir, FAVÖK ve Net Kar Dağılımı (Çeyreklik)" xr:uid="{BEA36C51-D775-487B-BE92-6701E25C7C51}"/>
    <hyperlink ref="B6" location="'Finansal Veriler - Yeni Segment'!A82" display="Konsolide FAVÖK ve Net Kar Marjları Dağılımı (Kümülatif)" xr:uid="{4E30623C-CC30-41AF-9F7E-EF04D32B60EB}"/>
    <hyperlink ref="B5" location="'Finansal Veriler - Yeni Segment'!A67" display="Konsolide Gelir, FAVÖK ve Net Kar Dağılımı (Kümülatif)" xr:uid="{870E05AE-5DAE-4E26-AB97-FB4987932137}"/>
    <hyperlink ref="B4" location="'Finansal Veriler - Yeni Segment'!A45" display="Konsolide Özet Gelir Tablosu (Çeyreklik)" xr:uid="{E20909A2-AC7F-424A-96B6-E7C39D656BA1}"/>
    <hyperlink ref="B3" location="'Finansal Veriler - Yeni Segment'!A29" display="Konsolide Özet Gelir Tablosu (Kümülatif)" xr:uid="{AD102D3E-8BA7-4DE7-9411-C2EB2A595433}"/>
    <hyperlink ref="B9" location="'Finansal Veriler - Yeni Segment'!A134" display="Konsolide Özet Bilanço" xr:uid="{BBBBEBEF-0064-463F-AFDD-B57D17655486}"/>
    <hyperlink ref="B11" location="'Finansal Veriler - Yeni Segment'!A177" display="Konsolide Özet Nakit Akım Tablosu" xr:uid="{14B5D633-6839-48E0-A325-3E241206C1D9}"/>
    <hyperlink ref="B10" location="'Finansal Veriler - Yeni Segment'!A162" display="Bölümler bazında varlıklar ve kaynaklar:" xr:uid="{B55A583C-E4AD-46F2-B89D-2A25C162D2F3}"/>
    <hyperlink ref="B14" location="'Finansal Veriler - Yeni Segment'!A217" display="Rasyolar" xr:uid="{4721BD66-90E1-40E7-B6C2-3D59B37FD2D0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DA6B-A3F1-47A3-8A54-14F607B1C084}">
  <sheetPr>
    <tabColor theme="8" tint="0.39997558519241921"/>
    <pageSetUpPr fitToPage="1"/>
  </sheetPr>
  <dimension ref="A2:L148"/>
  <sheetViews>
    <sheetView zoomScale="80" zoomScaleNormal="80" workbookViewId="0">
      <pane xSplit="2" topLeftCell="C1" activePane="topRight" state="frozen"/>
      <selection pane="topRight" activeCell="C1" sqref="C1"/>
    </sheetView>
  </sheetViews>
  <sheetFormatPr defaultColWidth="9.109375" defaultRowHeight="13.2" outlineLevelRow="1" x14ac:dyDescent="0.25"/>
  <cols>
    <col min="1" max="1" width="8.6640625" style="66" customWidth="1"/>
    <col min="2" max="2" width="68.109375" style="1" customWidth="1"/>
    <col min="3" max="10" width="10.6640625" style="1" customWidth="1"/>
    <col min="11" max="16384" width="9.109375" style="1"/>
  </cols>
  <sheetData>
    <row r="2" spans="1:12" s="127" customFormat="1" ht="24" customHeight="1" x14ac:dyDescent="0.3">
      <c r="A2" s="126"/>
      <c r="B2" s="125" t="s">
        <v>164</v>
      </c>
    </row>
    <row r="3" spans="1:12" ht="15.9" customHeight="1" x14ac:dyDescent="0.25">
      <c r="A3" s="103" t="s">
        <v>215</v>
      </c>
      <c r="B3" s="65" t="s">
        <v>150</v>
      </c>
    </row>
    <row r="4" spans="1:12" ht="15.9" customHeight="1" x14ac:dyDescent="0.25">
      <c r="A4" s="103" t="s">
        <v>215</v>
      </c>
      <c r="B4" s="65" t="s">
        <v>151</v>
      </c>
    </row>
    <row r="5" spans="1:12" ht="15.9" customHeight="1" x14ac:dyDescent="0.25">
      <c r="A5" s="103" t="s">
        <v>215</v>
      </c>
      <c r="B5" s="65" t="s">
        <v>152</v>
      </c>
    </row>
    <row r="6" spans="1:12" ht="15.9" customHeight="1" x14ac:dyDescent="0.25">
      <c r="A6" s="103" t="s">
        <v>215</v>
      </c>
      <c r="B6" s="65" t="s">
        <v>243</v>
      </c>
    </row>
    <row r="7" spans="1:12" ht="15.9" customHeight="1" x14ac:dyDescent="0.25">
      <c r="A7" s="103" t="s">
        <v>215</v>
      </c>
      <c r="B7" s="65" t="s">
        <v>153</v>
      </c>
    </row>
    <row r="8" spans="1:12" ht="15.9" customHeight="1" x14ac:dyDescent="0.25">
      <c r="A8" s="103" t="s">
        <v>215</v>
      </c>
      <c r="B8" s="65" t="s">
        <v>240</v>
      </c>
    </row>
    <row r="9" spans="1:12" ht="15.9" customHeight="1" x14ac:dyDescent="0.25">
      <c r="A9" s="103" t="s">
        <v>215</v>
      </c>
      <c r="B9" s="65" t="s">
        <v>161</v>
      </c>
    </row>
    <row r="10" spans="1:12" ht="15.9" customHeight="1" x14ac:dyDescent="0.25">
      <c r="A10" s="103" t="s">
        <v>215</v>
      </c>
      <c r="B10" s="65" t="s">
        <v>166</v>
      </c>
    </row>
    <row r="11" spans="1:12" x14ac:dyDescent="0.25">
      <c r="A11" s="103"/>
      <c r="B11" s="65"/>
    </row>
    <row r="12" spans="1:12" ht="15.9" customHeight="1" outlineLevel="1" x14ac:dyDescent="0.25">
      <c r="B12" s="117" t="s">
        <v>234</v>
      </c>
      <c r="C12" s="118">
        <v>5.3628999999999944</v>
      </c>
      <c r="D12" s="118">
        <v>5.6197000000000008</v>
      </c>
      <c r="E12" s="118">
        <v>5.6338000000000124</v>
      </c>
      <c r="F12" s="118">
        <v>5.6711999999999883</v>
      </c>
      <c r="G12" s="118">
        <v>6.0920999999999896</v>
      </c>
      <c r="H12" s="118">
        <v>6.4730999999999987</v>
      </c>
      <c r="I12" s="118">
        <v>6.7141999999999804</v>
      </c>
      <c r="J12" s="118">
        <v>7.0033999999999912</v>
      </c>
      <c r="K12" s="118">
        <v>7.3719999999999999</v>
      </c>
      <c r="L12" s="124"/>
    </row>
    <row r="13" spans="1:12" ht="15.9" customHeight="1" outlineLevel="1" thickBot="1" x14ac:dyDescent="0.3">
      <c r="B13" s="119" t="s">
        <v>235</v>
      </c>
      <c r="C13" s="120">
        <v>5.6284000000000054</v>
      </c>
      <c r="D13" s="120">
        <v>5.7550999999999899</v>
      </c>
      <c r="E13" s="120">
        <v>5.6590999999999907</v>
      </c>
      <c r="F13" s="120">
        <v>5.9401999999999999</v>
      </c>
      <c r="G13" s="120">
        <v>6.5160000000000178</v>
      </c>
      <c r="H13" s="120">
        <v>6.8421999999999876</v>
      </c>
      <c r="I13" s="120">
        <v>7.8080000000000176</v>
      </c>
      <c r="J13" s="120">
        <v>7.3404999999999943</v>
      </c>
      <c r="K13" s="120">
        <v>8.3260000000000005</v>
      </c>
    </row>
    <row r="15" spans="1:12" ht="20.100000000000001" customHeight="1" outlineLevel="1" x14ac:dyDescent="0.25">
      <c r="B15" s="36" t="s">
        <v>150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2" outlineLevel="1" x14ac:dyDescent="0.25">
      <c r="B16" s="35" t="s">
        <v>65</v>
      </c>
      <c r="C16" s="39" t="s">
        <v>188</v>
      </c>
      <c r="D16" s="39" t="s">
        <v>190</v>
      </c>
      <c r="E16" s="39" t="s">
        <v>193</v>
      </c>
      <c r="F16" s="39">
        <v>2019</v>
      </c>
      <c r="G16" s="39" t="s">
        <v>195</v>
      </c>
      <c r="H16" s="39" t="s">
        <v>221</v>
      </c>
      <c r="I16" s="39" t="s">
        <v>228</v>
      </c>
      <c r="J16" s="39">
        <v>2020</v>
      </c>
      <c r="K16" s="39" t="s">
        <v>245</v>
      </c>
    </row>
    <row r="17" spans="1:11" ht="15" customHeight="1" outlineLevel="1" x14ac:dyDescent="0.25">
      <c r="B17" s="10" t="s">
        <v>66</v>
      </c>
      <c r="C17" s="13">
        <f>'Finansal Veriler - Yeni Segment'!C18/'Finansal Veriler - Yeni - USD'!C$12</f>
        <v>855.40994611124665</v>
      </c>
      <c r="D17" s="13">
        <f>'Finansal Veriler - Yeni Segment'!D18/'Finansal Veriler - Yeni - USD'!D$12</f>
        <v>1477.9940210331511</v>
      </c>
      <c r="E17" s="13">
        <f>'Finansal Veriler - Yeni Segment'!E18/'Finansal Veriler - Yeni - USD'!E$12</f>
        <v>2005.1856650928282</v>
      </c>
      <c r="F17" s="13">
        <f>'Finansal Veriler - Yeni Segment'!F18/'Finansal Veriler - Yeni - USD'!F$12</f>
        <v>2575.0024686133497</v>
      </c>
      <c r="G17" s="13">
        <f>'Finansal Veriler - Yeni Segment'!G18/'Finansal Veriler - Yeni - USD'!G$12</f>
        <v>496.04241558740091</v>
      </c>
      <c r="H17" s="13">
        <f>'Finansal Veriler - Yeni Segment'!H18/'Finansal Veriler - Yeni - USD'!H$12</f>
        <v>877.53116744681847</v>
      </c>
      <c r="I17" s="13">
        <f>'Finansal Veriler - Yeni Segment'!I18/'Finansal Veriler - Yeni - USD'!I$12</f>
        <v>1247.1460486729654</v>
      </c>
      <c r="J17" s="13">
        <f>'Finansal Veriler - Yeni Segment'!J18/'Finansal Veriler - Yeni - USD'!J$12</f>
        <v>1674.8692063854721</v>
      </c>
      <c r="K17" s="13">
        <f>'Finansal Veriler - Yeni Segment'!K18/'Finansal Veriler - Yeni - USD'!K$12</f>
        <v>514.18760173629948</v>
      </c>
    </row>
    <row r="18" spans="1:11" ht="15" customHeight="1" outlineLevel="1" x14ac:dyDescent="0.25">
      <c r="B18" s="42" t="s">
        <v>67</v>
      </c>
      <c r="C18" s="81">
        <f>'Finansal Veriler - Yeni Segment'!C19/'Finansal Veriler - Yeni - USD'!C$12</f>
        <v>198.34268772492516</v>
      </c>
      <c r="D18" s="81">
        <f>'Finansal Veriler - Yeni Segment'!D19/'Finansal Veriler - Yeni - USD'!D$12</f>
        <v>290.5843728312899</v>
      </c>
      <c r="E18" s="81">
        <f>'Finansal Veriler - Yeni Segment'!E19/'Finansal Veriler - Yeni - USD'!E$12</f>
        <v>381.19226809613326</v>
      </c>
      <c r="F18" s="81">
        <f>'Finansal Veriler - Yeni Segment'!F19/'Finansal Veriler - Yeni - USD'!F$12</f>
        <v>423.46628579489436</v>
      </c>
      <c r="G18" s="81">
        <f>'Finansal Veriler - Yeni Segment'!G19/'Finansal Veriler - Yeni - USD'!G$12</f>
        <v>40.048259220958357</v>
      </c>
      <c r="H18" s="81">
        <f>'Finansal Veriler - Yeni Segment'!H19/'Finansal Veriler - Yeni - USD'!H$12</f>
        <v>92.614203395591005</v>
      </c>
      <c r="I18" s="81">
        <f>'Finansal Veriler - Yeni Segment'!I19/'Finansal Veriler - Yeni - USD'!I$12</f>
        <v>106.83000208513332</v>
      </c>
      <c r="J18" s="81">
        <f>'Finansal Veriler - Yeni Segment'!J19/'Finansal Veriler - Yeni - USD'!J$12</f>
        <v>130.50761058914259</v>
      </c>
      <c r="K18" s="81">
        <f>'Finansal Veriler - Yeni Segment'!K19/'Finansal Veriler - Yeni - USD'!K$12</f>
        <v>88.219207813347793</v>
      </c>
    </row>
    <row r="19" spans="1:11" ht="15" customHeight="1" outlineLevel="1" x14ac:dyDescent="0.25">
      <c r="B19" s="25" t="s">
        <v>68</v>
      </c>
      <c r="C19" s="46">
        <f>C18/C17</f>
        <v>0.23186857789835724</v>
      </c>
      <c r="D19" s="46">
        <f t="shared" ref="D19:J19" si="0">D18/D17</f>
        <v>0.19660727221898022</v>
      </c>
      <c r="E19" s="46">
        <f t="shared" si="0"/>
        <v>0.19010322821078332</v>
      </c>
      <c r="F19" s="46">
        <f t="shared" si="0"/>
        <v>0.16445276886391991</v>
      </c>
      <c r="G19" s="46">
        <f t="shared" si="0"/>
        <v>8.0735553981879191E-2</v>
      </c>
      <c r="H19" s="46">
        <f t="shared" si="0"/>
        <v>0.1055395031324671</v>
      </c>
      <c r="I19" s="46">
        <f t="shared" si="0"/>
        <v>8.5659576277218319E-2</v>
      </c>
      <c r="J19" s="46">
        <f t="shared" si="0"/>
        <v>7.7921075921379257E-2</v>
      </c>
      <c r="K19" s="46">
        <f t="shared" ref="K19" si="1">K18/K17</f>
        <v>0.17157007970524912</v>
      </c>
    </row>
    <row r="20" spans="1:11" ht="15" customHeight="1" outlineLevel="1" x14ac:dyDescent="0.25">
      <c r="B20" s="42" t="s">
        <v>69</v>
      </c>
      <c r="C20" s="81">
        <f>'Finansal Veriler - Yeni Segment'!C21/'Finansal Veriler - Yeni - USD'!C$12</f>
        <v>158.75440526580783</v>
      </c>
      <c r="D20" s="81">
        <f>'Finansal Veriler - Yeni Segment'!D21/'Finansal Veriler - Yeni - USD'!D$12</f>
        <v>228.39101731409147</v>
      </c>
      <c r="E20" s="81">
        <f>'Finansal Veriler - Yeni Segment'!E21/'Finansal Veriler - Yeni - USD'!E$12</f>
        <v>285.1741275870632</v>
      </c>
      <c r="F20" s="81">
        <f>'Finansal Veriler - Yeni Segment'!F21/'Finansal Veriler - Yeni - USD'!F$12</f>
        <v>282.72517280293471</v>
      </c>
      <c r="G20" s="81">
        <f>'Finansal Veriler - Yeni Segment'!G21/'Finansal Veriler - Yeni - USD'!G$12</f>
        <v>-5.2989937788283275</v>
      </c>
      <c r="H20" s="81">
        <f>'Finansal Veriler - Yeni Segment'!H21/'Finansal Veriler - Yeni - USD'!H$12</f>
        <v>10.53405632540823</v>
      </c>
      <c r="I20" s="81">
        <f>'Finansal Veriler - Yeni Segment'!I21/'Finansal Veriler - Yeni - USD'!I$12</f>
        <v>-11.262250156385008</v>
      </c>
      <c r="J20" s="81">
        <f>'Finansal Veriler - Yeni Segment'!J21/'Finansal Veriler - Yeni - USD'!J$12</f>
        <v>0.14450124225376265</v>
      </c>
      <c r="K20" s="81">
        <f>'Finansal Veriler - Yeni Segment'!K21/'Finansal Veriler - Yeni - USD'!K$12</f>
        <v>41.587221920781339</v>
      </c>
    </row>
    <row r="21" spans="1:11" ht="15" customHeight="1" outlineLevel="1" x14ac:dyDescent="0.25">
      <c r="B21" s="25" t="s">
        <v>68</v>
      </c>
      <c r="C21" s="46">
        <f>C20/C17</f>
        <v>0.18558868293210343</v>
      </c>
      <c r="D21" s="46">
        <f t="shared" ref="D21:J21" si="2">D20/D17</f>
        <v>0.15452770042631228</v>
      </c>
      <c r="E21" s="46">
        <f t="shared" si="2"/>
        <v>0.14221831551636457</v>
      </c>
      <c r="F21" s="46">
        <f t="shared" si="2"/>
        <v>0.10979607835295919</v>
      </c>
      <c r="G21" s="46">
        <f t="shared" si="2"/>
        <v>-1.0682541678524391E-2</v>
      </c>
      <c r="H21" s="46">
        <f t="shared" si="2"/>
        <v>1.2004196222519505E-2</v>
      </c>
      <c r="I21" s="46">
        <f t="shared" si="2"/>
        <v>-9.0304180239104189E-3</v>
      </c>
      <c r="J21" s="46">
        <f t="shared" si="2"/>
        <v>8.6276135296325709E-5</v>
      </c>
      <c r="K21" s="46">
        <f t="shared" ref="K21" si="3">K20/K17</f>
        <v>8.0879472356685286E-2</v>
      </c>
    </row>
    <row r="22" spans="1:11" ht="15" customHeight="1" outlineLevel="1" x14ac:dyDescent="0.25">
      <c r="B22" s="42" t="s">
        <v>70</v>
      </c>
      <c r="C22" s="81">
        <f>'Finansal Veriler - Yeni Segment'!C23/'Finansal Veriler - Yeni - USD'!C$12</f>
        <v>175.76982602696319</v>
      </c>
      <c r="D22" s="81">
        <f>'Finansal Veriler - Yeni Segment'!D23/'Finansal Veriler - Yeni - USD'!D$12</f>
        <v>248.65348684093453</v>
      </c>
      <c r="E22" s="81">
        <f>'Finansal Veriler - Yeni Segment'!E23/'Finansal Veriler - Yeni - USD'!E$12</f>
        <v>319.3565621782804</v>
      </c>
      <c r="F22" s="81">
        <f>'Finansal Veriler - Yeni Segment'!F23/'Finansal Veriler - Yeni - USD'!F$12</f>
        <v>338.737480603753</v>
      </c>
      <c r="G22" s="81">
        <f>'Finansal Veriler - Yeni Segment'!G23/'Finansal Veriler - Yeni - USD'!G$12</f>
        <v>20.295792912132139</v>
      </c>
      <c r="H22" s="81">
        <f>'Finansal Veriler - Yeni Segment'!H23/'Finansal Veriler - Yeni - USD'!H$12</f>
        <v>53.895969473667961</v>
      </c>
      <c r="I22" s="81">
        <f>'Finansal Veriler - Yeni Segment'!I23/'Finansal Veriler - Yeni - USD'!I$12</f>
        <v>56.125525006702382</v>
      </c>
      <c r="J22" s="81">
        <f>'Finansal Veriler - Yeni Segment'!J23/'Finansal Veriler - Yeni - USD'!J$12</f>
        <v>65.504183682211576</v>
      </c>
      <c r="K22" s="81">
        <f>'Finansal Veriler - Yeni Segment'!K23/'Finansal Veriler - Yeni - USD'!K$12</f>
        <v>70.01193705914271</v>
      </c>
    </row>
    <row r="23" spans="1:11" ht="15" customHeight="1" outlineLevel="1" x14ac:dyDescent="0.25">
      <c r="B23" s="25" t="s">
        <v>68</v>
      </c>
      <c r="C23" s="46">
        <f>C22/C17</f>
        <v>0.20548022246646194</v>
      </c>
      <c r="D23" s="46">
        <f t="shared" ref="D23:J23" si="4">D22/D17</f>
        <v>0.16823713986821148</v>
      </c>
      <c r="E23" s="46">
        <f t="shared" si="4"/>
        <v>0.15926533275086827</v>
      </c>
      <c r="F23" s="46">
        <f t="shared" si="4"/>
        <v>0.13154841004333664</v>
      </c>
      <c r="G23" s="46">
        <f t="shared" si="4"/>
        <v>4.0915438426970756E-2</v>
      </c>
      <c r="H23" s="46">
        <f t="shared" si="4"/>
        <v>6.141772676915689E-2</v>
      </c>
      <c r="I23" s="46">
        <f t="shared" si="4"/>
        <v>4.5003169489590371E-2</v>
      </c>
      <c r="J23" s="46">
        <f t="shared" si="4"/>
        <v>3.9110029268241107E-2</v>
      </c>
      <c r="K23" s="46">
        <f t="shared" ref="K23" si="5">K22/K17</f>
        <v>0.13616029795881435</v>
      </c>
    </row>
    <row r="24" spans="1:11" ht="15" customHeight="1" outlineLevel="1" x14ac:dyDescent="0.25">
      <c r="B24" s="41" t="s">
        <v>71</v>
      </c>
      <c r="C24" s="71">
        <f>'Finansal Veriler - Yeni Segment'!C25/'Finansal Veriler - Yeni - USD'!C$12</f>
        <v>20.446773201066609</v>
      </c>
      <c r="D24" s="71">
        <f>'Finansal Veriler - Yeni Segment'!D25/'Finansal Veriler - Yeni - USD'!D$12</f>
        <v>29.909247824616973</v>
      </c>
      <c r="E24" s="71">
        <f>'Finansal Veriler - Yeni Segment'!E25/'Finansal Veriler - Yeni - USD'!E$12</f>
        <v>29.760552380276128</v>
      </c>
      <c r="F24" s="71">
        <f>'Finansal Veriler - Yeni Segment'!F25/'Finansal Veriler - Yeni - USD'!F$12</f>
        <v>40.716955847087128</v>
      </c>
      <c r="G24" s="71">
        <f>'Finansal Veriler - Yeni Segment'!G25/'Finansal Veriler - Yeni - USD'!G$12</f>
        <v>15.078544344314794</v>
      </c>
      <c r="H24" s="71">
        <f>'Finansal Veriler - Yeni Segment'!H25/'Finansal Veriler - Yeni - USD'!H$12</f>
        <v>24.47637144490276</v>
      </c>
      <c r="I24" s="71">
        <f>'Finansal Veriler - Yeni Segment'!I25/'Finansal Veriler - Yeni - USD'!I$12</f>
        <v>55.659497780822896</v>
      </c>
      <c r="J24" s="71">
        <f>'Finansal Veriler - Yeni Segment'!J25/'Finansal Veriler - Yeni - USD'!J$12</f>
        <v>32.083987777365301</v>
      </c>
      <c r="K24" s="71">
        <f>'Finansal Veriler - Yeni Segment'!K25/'Finansal Veriler - Yeni - USD'!K$12</f>
        <v>29.721513836136729</v>
      </c>
    </row>
    <row r="25" spans="1:11" ht="15" customHeight="1" outlineLevel="1" x14ac:dyDescent="0.25">
      <c r="B25" s="80" t="s">
        <v>186</v>
      </c>
      <c r="C25" s="81">
        <f>'Finansal Veriler - Yeni Segment'!C26/'Finansal Veriler - Yeni - USD'!C$12</f>
        <v>181.0690111693302</v>
      </c>
      <c r="D25" s="81">
        <f>'Finansal Veriler - Yeni Segment'!D26/'Finansal Veriler - Yeni - USD'!D$12</f>
        <v>259.91156111536202</v>
      </c>
      <c r="E25" s="81">
        <f>'Finansal Veriler - Yeni Segment'!E26/'Finansal Veriler - Yeni - USD'!E$12</f>
        <v>318.41563420781642</v>
      </c>
      <c r="F25" s="81">
        <f>'Finansal Veriler - Yeni Segment'!F26/'Finansal Veriler - Yeni - USD'!F$12</f>
        <v>313.33879954859708</v>
      </c>
      <c r="G25" s="81">
        <f>'Finansal Veriler - Yeni Segment'!G26/'Finansal Veriler - Yeni - USD'!G$12</f>
        <v>12.756849033994866</v>
      </c>
      <c r="H25" s="81">
        <f>'Finansal Veriler - Yeni Segment'!H26/'Finansal Veriler - Yeni - USD'!H$12</f>
        <v>40.086975328667883</v>
      </c>
      <c r="I25" s="81">
        <f>'Finansal Veriler - Yeni Segment'!I26/'Finansal Veriler - Yeni - USD'!I$12</f>
        <v>49.468886836853379</v>
      </c>
      <c r="J25" s="81">
        <f>'Finansal Veriler - Yeni Segment'!J26/'Finansal Veriler - Yeni - USD'!J$12</f>
        <v>32.766085044407042</v>
      </c>
      <c r="K25" s="81">
        <f>'Finansal Veriler - Yeni Segment'!K26/'Finansal Veriler - Yeni - USD'!K$12</f>
        <v>71.398399348887693</v>
      </c>
    </row>
    <row r="26" spans="1:11" ht="15" customHeight="1" outlineLevel="1" x14ac:dyDescent="0.25">
      <c r="B26" s="41" t="s">
        <v>72</v>
      </c>
      <c r="C26" s="71">
        <f>'Finansal Veriler - Yeni Segment'!C27/'Finansal Veriler - Yeni - USD'!C$12</f>
        <v>-35.456562680639244</v>
      </c>
      <c r="D26" s="71">
        <f>'Finansal Veriler - Yeni Segment'!D27/'Finansal Veriler - Yeni - USD'!D$12</f>
        <v>-50.04964677829777</v>
      </c>
      <c r="E26" s="71">
        <f>'Finansal Veriler - Yeni Segment'!E27/'Finansal Veriler - Yeni - USD'!E$12</f>
        <v>-63.463559231779477</v>
      </c>
      <c r="F26" s="71">
        <f>'Finansal Veriler - Yeni Segment'!F27/'Finansal Veriler - Yeni - USD'!F$12</f>
        <v>-63.857384680491037</v>
      </c>
      <c r="G26" s="71">
        <f>'Finansal Veriler - Yeni Segment'!G27/'Finansal Veriler - Yeni - USD'!G$12</f>
        <v>-5.1471577945207816</v>
      </c>
      <c r="H26" s="71">
        <f>'Finansal Veriler - Yeni Segment'!H27/'Finansal Veriler - Yeni - USD'!H$12</f>
        <v>-18.239328915048436</v>
      </c>
      <c r="I26" s="71">
        <f>'Finansal Veriler - Yeni Segment'!I27/'Finansal Veriler - Yeni - USD'!I$12</f>
        <v>-30.410771201334573</v>
      </c>
      <c r="J26" s="71">
        <f>'Finansal Veriler - Yeni Segment'!J27/'Finansal Veriler - Yeni - USD'!J$12</f>
        <v>-42.389696433161092</v>
      </c>
      <c r="K26" s="71">
        <f>'Finansal Veriler - Yeni Segment'!K27/'Finansal Veriler - Yeni - USD'!K$12</f>
        <v>-15.866928920238742</v>
      </c>
    </row>
    <row r="27" spans="1:11" ht="15" customHeight="1" outlineLevel="1" x14ac:dyDescent="0.25">
      <c r="B27" s="54" t="s">
        <v>73</v>
      </c>
      <c r="C27" s="55">
        <f>'Finansal Veriler - Yeni Segment'!C28/'Finansal Veriler - Yeni - USD'!C$12</f>
        <v>145.61244848869097</v>
      </c>
      <c r="D27" s="55">
        <f>'Finansal Veriler - Yeni Segment'!D28/'Finansal Veriler - Yeni - USD'!D$12</f>
        <v>209.86191433706423</v>
      </c>
      <c r="E27" s="55">
        <f>'Finansal Veriler - Yeni Segment'!E28/'Finansal Veriler - Yeni - USD'!E$12</f>
        <v>254.95207497603693</v>
      </c>
      <c r="F27" s="55">
        <f>'Finansal Veriler - Yeni Segment'!F28/'Finansal Veriler - Yeni - USD'!F$12</f>
        <v>249.48141486810601</v>
      </c>
      <c r="G27" s="55">
        <f>'Finansal Veriler - Yeni Segment'!G28/'Finansal Veriler - Yeni - USD'!G$12</f>
        <v>7.6096912394740865</v>
      </c>
      <c r="H27" s="55">
        <f>'Finansal Veriler - Yeni Segment'!H28/'Finansal Veriler - Yeni - USD'!H$12</f>
        <v>21.847646413619444</v>
      </c>
      <c r="I27" s="55">
        <f>'Finansal Veriler - Yeni Segment'!I28/'Finansal Veriler - Yeni - USD'!I$12</f>
        <v>19.058115635518806</v>
      </c>
      <c r="J27" s="55">
        <f>'Finansal Veriler - Yeni Segment'!J28/'Finansal Veriler - Yeni - USD'!J$12</f>
        <v>-9.6236113887540444</v>
      </c>
      <c r="K27" s="55">
        <f>'Finansal Veriler - Yeni Segment'!K28/'Finansal Veriler - Yeni - USD'!K$12</f>
        <v>55.531470428648937</v>
      </c>
    </row>
    <row r="28" spans="1:11" ht="15" customHeight="1" outlineLevel="1" x14ac:dyDescent="0.25">
      <c r="A28" s="65" t="s">
        <v>165</v>
      </c>
      <c r="B28" s="56" t="s">
        <v>68</v>
      </c>
      <c r="C28" s="57">
        <f>C27/C17</f>
        <v>0.17022533950026572</v>
      </c>
      <c r="D28" s="57">
        <f t="shared" ref="D28:J28" si="6">D27/D17</f>
        <v>0.14199104417916794</v>
      </c>
      <c r="E28" s="57">
        <f t="shared" si="6"/>
        <v>0.12714636824627118</v>
      </c>
      <c r="F28" s="57">
        <f t="shared" si="6"/>
        <v>9.6885893473513007E-2</v>
      </c>
      <c r="G28" s="57">
        <f t="shared" si="6"/>
        <v>1.5340807560706039E-2</v>
      </c>
      <c r="H28" s="57">
        <f t="shared" si="6"/>
        <v>2.4896718457516769E-2</v>
      </c>
      <c r="I28" s="57">
        <f t="shared" si="6"/>
        <v>1.5281382365600027E-2</v>
      </c>
      <c r="J28" s="57">
        <f t="shared" si="6"/>
        <v>-5.7458883070175479E-3</v>
      </c>
      <c r="K28" s="57">
        <f t="shared" ref="K28" si="7">K27/K17</f>
        <v>0.10799846250888054</v>
      </c>
    </row>
    <row r="31" spans="1:11" ht="20.100000000000001" customHeight="1" outlineLevel="1" x14ac:dyDescent="0.25">
      <c r="B31" s="36" t="s">
        <v>151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outlineLevel="1" x14ac:dyDescent="0.25">
      <c r="B32" s="35" t="s">
        <v>65</v>
      </c>
      <c r="C32" s="39" t="s">
        <v>187</v>
      </c>
      <c r="D32" s="39" t="s">
        <v>189</v>
      </c>
      <c r="E32" s="39" t="s">
        <v>192</v>
      </c>
      <c r="F32" s="39" t="s">
        <v>194</v>
      </c>
      <c r="G32" s="39" t="s">
        <v>196</v>
      </c>
      <c r="H32" s="39" t="s">
        <v>220</v>
      </c>
      <c r="I32" s="39" t="s">
        <v>229</v>
      </c>
      <c r="J32" s="39" t="s">
        <v>233</v>
      </c>
      <c r="K32" s="39" t="s">
        <v>244</v>
      </c>
    </row>
    <row r="33" spans="1:11" ht="15" customHeight="1" outlineLevel="1" x14ac:dyDescent="0.25">
      <c r="B33" s="10" t="s">
        <v>66</v>
      </c>
      <c r="C33" s="45">
        <f>+C17</f>
        <v>855.40994611124665</v>
      </c>
      <c r="D33" s="45">
        <f t="shared" ref="D33:J34" si="8">+D17-C17</f>
        <v>622.5840749219044</v>
      </c>
      <c r="E33" s="45">
        <f t="shared" si="8"/>
        <v>527.19164405967717</v>
      </c>
      <c r="F33" s="45">
        <f t="shared" si="8"/>
        <v>569.81680352052149</v>
      </c>
      <c r="G33" s="45">
        <f>+G17</f>
        <v>496.04241558740091</v>
      </c>
      <c r="H33" s="45">
        <f t="shared" si="8"/>
        <v>381.48875185941756</v>
      </c>
      <c r="I33" s="45">
        <f t="shared" si="8"/>
        <v>369.61488122614696</v>
      </c>
      <c r="J33" s="45">
        <f t="shared" si="8"/>
        <v>427.72315771250669</v>
      </c>
      <c r="K33" s="45">
        <f>+K17</f>
        <v>514.18760173629948</v>
      </c>
    </row>
    <row r="34" spans="1:11" ht="15" customHeight="1" outlineLevel="1" x14ac:dyDescent="0.25">
      <c r="B34" s="42" t="s">
        <v>67</v>
      </c>
      <c r="C34" s="43">
        <f>+C18</f>
        <v>198.34268772492516</v>
      </c>
      <c r="D34" s="43">
        <f t="shared" si="8"/>
        <v>92.241685106364741</v>
      </c>
      <c r="E34" s="43">
        <f t="shared" si="8"/>
        <v>90.607895264843364</v>
      </c>
      <c r="F34" s="4">
        <f t="shared" si="8"/>
        <v>42.274017698761099</v>
      </c>
      <c r="G34" s="43">
        <f>+G18</f>
        <v>40.048259220958357</v>
      </c>
      <c r="H34" s="43">
        <f t="shared" si="8"/>
        <v>52.565944174632648</v>
      </c>
      <c r="I34" s="43">
        <f t="shared" si="8"/>
        <v>14.215798689542311</v>
      </c>
      <c r="J34" s="43">
        <f t="shared" si="8"/>
        <v>23.677608504009271</v>
      </c>
      <c r="K34" s="43">
        <f>+K18</f>
        <v>88.219207813347793</v>
      </c>
    </row>
    <row r="35" spans="1:11" ht="15" customHeight="1" outlineLevel="1" x14ac:dyDescent="0.25">
      <c r="B35" s="25" t="s">
        <v>68</v>
      </c>
      <c r="C35" s="46">
        <f t="shared" ref="C35:I35" si="9">+C34/C33</f>
        <v>0.23186857789835724</v>
      </c>
      <c r="D35" s="46">
        <f t="shared" si="9"/>
        <v>0.14815940339934866</v>
      </c>
      <c r="E35" s="46">
        <f t="shared" si="9"/>
        <v>0.17186898974177731</v>
      </c>
      <c r="F35" s="89">
        <f t="shared" si="9"/>
        <v>7.4188787409528612E-2</v>
      </c>
      <c r="G35" s="46">
        <f t="shared" si="9"/>
        <v>8.0735553981879191E-2</v>
      </c>
      <c r="H35" s="46">
        <f t="shared" si="9"/>
        <v>0.13779159652393558</v>
      </c>
      <c r="I35" s="46">
        <f t="shared" si="9"/>
        <v>3.8461110230149115E-2</v>
      </c>
      <c r="J35" s="46">
        <f t="shared" ref="J35:K35" si="10">+J34/J33</f>
        <v>5.5357321849578534E-2</v>
      </c>
      <c r="K35" s="46">
        <f t="shared" si="10"/>
        <v>0.17157007970524912</v>
      </c>
    </row>
    <row r="36" spans="1:11" ht="15" customHeight="1" outlineLevel="1" x14ac:dyDescent="0.25">
      <c r="B36" s="42" t="s">
        <v>69</v>
      </c>
      <c r="C36" s="47">
        <f>+C20</f>
        <v>158.75440526580783</v>
      </c>
      <c r="D36" s="47">
        <f>+D20-C20</f>
        <v>69.636612048283638</v>
      </c>
      <c r="E36" s="47">
        <f>+E20-D20</f>
        <v>56.783110272971726</v>
      </c>
      <c r="F36" s="91">
        <f>+F20-E20</f>
        <v>-2.4489547841284889</v>
      </c>
      <c r="G36" s="47">
        <f>+G20</f>
        <v>-5.2989937788283275</v>
      </c>
      <c r="H36" s="47">
        <f>+H20-G20</f>
        <v>15.833050104236557</v>
      </c>
      <c r="I36" s="47">
        <f>+I20-H20</f>
        <v>-21.796306481793238</v>
      </c>
      <c r="J36" s="47">
        <f>+J20-I20</f>
        <v>11.40675139863877</v>
      </c>
      <c r="K36" s="47">
        <f>+K20</f>
        <v>41.587221920781339</v>
      </c>
    </row>
    <row r="37" spans="1:11" ht="15" customHeight="1" outlineLevel="1" x14ac:dyDescent="0.25">
      <c r="B37" s="25" t="s">
        <v>68</v>
      </c>
      <c r="C37" s="46">
        <f t="shared" ref="C37:I37" si="11">+C36/C33</f>
        <v>0.18558868293210343</v>
      </c>
      <c r="D37" s="46">
        <f t="shared" si="11"/>
        <v>0.11185093685060721</v>
      </c>
      <c r="E37" s="46">
        <f t="shared" si="11"/>
        <v>0.10770866896847853</v>
      </c>
      <c r="F37" s="89">
        <f t="shared" si="11"/>
        <v>-4.2977932012499727E-3</v>
      </c>
      <c r="G37" s="46">
        <f t="shared" si="11"/>
        <v>-1.0682541678524391E-2</v>
      </c>
      <c r="H37" s="46">
        <f t="shared" si="11"/>
        <v>4.1503320942136705E-2</v>
      </c>
      <c r="I37" s="46">
        <f t="shared" si="11"/>
        <v>-5.8970316372238485E-2</v>
      </c>
      <c r="J37" s="46">
        <f t="shared" ref="J37:K37" si="12">+J36/J33</f>
        <v>2.6668538265832677E-2</v>
      </c>
      <c r="K37" s="46">
        <f t="shared" si="12"/>
        <v>8.0879472356685286E-2</v>
      </c>
    </row>
    <row r="38" spans="1:11" ht="15" customHeight="1" outlineLevel="1" x14ac:dyDescent="0.25">
      <c r="B38" s="42" t="s">
        <v>70</v>
      </c>
      <c r="C38" s="43">
        <f>+C22</f>
        <v>175.76982602696319</v>
      </c>
      <c r="D38" s="43">
        <f>+D22-C22</f>
        <v>72.883660813971346</v>
      </c>
      <c r="E38" s="43">
        <f>+E22-D22</f>
        <v>70.703075337345865</v>
      </c>
      <c r="F38" s="4">
        <f>+F22-E22</f>
        <v>19.380918425472601</v>
      </c>
      <c r="G38" s="43">
        <f>+G22</f>
        <v>20.295792912132139</v>
      </c>
      <c r="H38" s="43">
        <f>+H22-G22</f>
        <v>33.600176561535818</v>
      </c>
      <c r="I38" s="43">
        <f>+I22-H22</f>
        <v>2.2295555330344214</v>
      </c>
      <c r="J38" s="43">
        <f>+J22-I22</f>
        <v>9.3786586755091932</v>
      </c>
      <c r="K38" s="43">
        <f>+K22</f>
        <v>70.01193705914271</v>
      </c>
    </row>
    <row r="39" spans="1:11" ht="15" customHeight="1" outlineLevel="1" x14ac:dyDescent="0.25">
      <c r="B39" s="25" t="s">
        <v>68</v>
      </c>
      <c r="C39" s="46">
        <f t="shared" ref="C39:I39" si="13">+C38/C33</f>
        <v>0.20548022246646194</v>
      </c>
      <c r="D39" s="46">
        <f t="shared" si="13"/>
        <v>0.11706637504840404</v>
      </c>
      <c r="E39" s="46">
        <f t="shared" si="13"/>
        <v>0.13411266307806349</v>
      </c>
      <c r="F39" s="89">
        <f t="shared" si="13"/>
        <v>3.4012542813287909E-2</v>
      </c>
      <c r="G39" s="46">
        <f t="shared" si="13"/>
        <v>4.0915438426970756E-2</v>
      </c>
      <c r="H39" s="46">
        <f t="shared" si="13"/>
        <v>8.8076454149080177E-2</v>
      </c>
      <c r="I39" s="46">
        <f t="shared" si="13"/>
        <v>6.0321043504476196E-3</v>
      </c>
      <c r="J39" s="46">
        <f t="shared" ref="J39:K39" si="14">+J38/J33</f>
        <v>2.192693686651645E-2</v>
      </c>
      <c r="K39" s="46">
        <f t="shared" si="14"/>
        <v>0.13616029795881435</v>
      </c>
    </row>
    <row r="40" spans="1:11" ht="15" customHeight="1" outlineLevel="1" x14ac:dyDescent="0.25">
      <c r="B40" s="41" t="s">
        <v>71</v>
      </c>
      <c r="C40" s="48">
        <f>+C24</f>
        <v>20.446773201066609</v>
      </c>
      <c r="D40" s="48">
        <f t="shared" ref="D40:J43" si="15">+D24-C24</f>
        <v>9.4624746235503636</v>
      </c>
      <c r="E40" s="48">
        <f t="shared" si="15"/>
        <v>-0.14869544434084503</v>
      </c>
      <c r="F40" s="85">
        <f t="shared" si="15"/>
        <v>10.956403466811</v>
      </c>
      <c r="G40" s="48">
        <f>+G24</f>
        <v>15.078544344314794</v>
      </c>
      <c r="H40" s="48">
        <f t="shared" si="15"/>
        <v>9.3978271005879659</v>
      </c>
      <c r="I40" s="48">
        <f t="shared" si="15"/>
        <v>31.183126335920136</v>
      </c>
      <c r="J40" s="48">
        <f t="shared" si="15"/>
        <v>-23.575510003457595</v>
      </c>
      <c r="K40" s="48">
        <f>+K24</f>
        <v>29.721513836136729</v>
      </c>
    </row>
    <row r="41" spans="1:11" ht="15" customHeight="1" outlineLevel="1" x14ac:dyDescent="0.25">
      <c r="B41" s="80" t="s">
        <v>186</v>
      </c>
      <c r="C41" s="82">
        <f>+C25</f>
        <v>181.0690111693302</v>
      </c>
      <c r="D41" s="82">
        <f t="shared" si="15"/>
        <v>78.842549946031824</v>
      </c>
      <c r="E41" s="82">
        <f t="shared" si="15"/>
        <v>58.504073092454405</v>
      </c>
      <c r="F41" s="92">
        <f t="shared" si="15"/>
        <v>-5.0768346592193438</v>
      </c>
      <c r="G41" s="82">
        <f>+G25</f>
        <v>12.756849033994866</v>
      </c>
      <c r="H41" s="82">
        <f t="shared" si="15"/>
        <v>27.330126294673015</v>
      </c>
      <c r="I41" s="82">
        <f t="shared" si="15"/>
        <v>9.381911508185496</v>
      </c>
      <c r="J41" s="82">
        <f t="shared" si="15"/>
        <v>-16.702801792446337</v>
      </c>
      <c r="K41" s="82">
        <f>+K25</f>
        <v>71.398399348887693</v>
      </c>
    </row>
    <row r="42" spans="1:11" ht="15" customHeight="1" outlineLevel="1" x14ac:dyDescent="0.25">
      <c r="B42" s="41" t="s">
        <v>72</v>
      </c>
      <c r="C42" s="48">
        <f>+C26</f>
        <v>-35.456562680639244</v>
      </c>
      <c r="D42" s="48">
        <f t="shared" si="15"/>
        <v>-14.593084097658526</v>
      </c>
      <c r="E42" s="48">
        <f t="shared" si="15"/>
        <v>-13.413912453481707</v>
      </c>
      <c r="F42" s="85">
        <f t="shared" si="15"/>
        <v>-0.39382544871156</v>
      </c>
      <c r="G42" s="48">
        <f>+G26</f>
        <v>-5.1471577945207816</v>
      </c>
      <c r="H42" s="48">
        <f t="shared" si="15"/>
        <v>-13.092171120527654</v>
      </c>
      <c r="I42" s="48">
        <f t="shared" si="15"/>
        <v>-12.171442286286137</v>
      </c>
      <c r="J42" s="48">
        <f t="shared" si="15"/>
        <v>-11.978925231826519</v>
      </c>
      <c r="K42" s="48">
        <f>+K26</f>
        <v>-15.866928920238742</v>
      </c>
    </row>
    <row r="43" spans="1:11" ht="15" customHeight="1" outlineLevel="1" x14ac:dyDescent="0.25">
      <c r="B43" s="54" t="s">
        <v>73</v>
      </c>
      <c r="C43" s="55">
        <f>+C27</f>
        <v>145.61244848869097</v>
      </c>
      <c r="D43" s="55">
        <f t="shared" si="15"/>
        <v>64.249465848373262</v>
      </c>
      <c r="E43" s="55">
        <f t="shared" si="15"/>
        <v>45.090160638972691</v>
      </c>
      <c r="F43" s="55">
        <f t="shared" si="15"/>
        <v>-5.470660107930911</v>
      </c>
      <c r="G43" s="55">
        <f>+G27</f>
        <v>7.6096912394740865</v>
      </c>
      <c r="H43" s="55">
        <f t="shared" si="15"/>
        <v>14.237955174145357</v>
      </c>
      <c r="I43" s="55">
        <f t="shared" si="15"/>
        <v>-2.7895307781006373</v>
      </c>
      <c r="J43" s="55">
        <f t="shared" si="15"/>
        <v>-28.681727024272853</v>
      </c>
      <c r="K43" s="55">
        <f>+K27</f>
        <v>55.531470428648937</v>
      </c>
    </row>
    <row r="44" spans="1:11" ht="15" customHeight="1" outlineLevel="1" x14ac:dyDescent="0.25">
      <c r="A44" s="65" t="s">
        <v>165</v>
      </c>
      <c r="B44" s="56" t="s">
        <v>68</v>
      </c>
      <c r="C44" s="57">
        <f t="shared" ref="C44:I44" si="16">+C43/C33</f>
        <v>0.17022533950026572</v>
      </c>
      <c r="D44" s="57">
        <f t="shared" si="16"/>
        <v>0.10319805538943889</v>
      </c>
      <c r="E44" s="57">
        <f t="shared" si="16"/>
        <v>8.5528974419534928E-2</v>
      </c>
      <c r="F44" s="57">
        <f t="shared" si="16"/>
        <v>-9.6007349627657817E-3</v>
      </c>
      <c r="G44" s="57">
        <f t="shared" si="16"/>
        <v>1.5340807560706039E-2</v>
      </c>
      <c r="H44" s="57">
        <f t="shared" si="16"/>
        <v>3.7322083822256935E-2</v>
      </c>
      <c r="I44" s="57">
        <f t="shared" si="16"/>
        <v>-7.5471278884842227E-3</v>
      </c>
      <c r="J44" s="57">
        <f t="shared" ref="J44:K44" si="17">+J43/J33</f>
        <v>-6.7056755069481694E-2</v>
      </c>
      <c r="K44" s="57">
        <f t="shared" si="17"/>
        <v>0.10799846250888054</v>
      </c>
    </row>
    <row r="47" spans="1:11" ht="20.100000000000001" customHeight="1" outlineLevel="1" x14ac:dyDescent="0.25">
      <c r="B47" s="36" t="s">
        <v>152</v>
      </c>
      <c r="C47" s="37"/>
      <c r="D47" s="37"/>
      <c r="E47" s="37"/>
      <c r="F47" s="37"/>
      <c r="G47" s="37"/>
      <c r="H47" s="37"/>
      <c r="I47" s="37"/>
      <c r="J47" s="37"/>
      <c r="K47" s="37"/>
    </row>
    <row r="48" spans="1:11" outlineLevel="1" x14ac:dyDescent="0.25">
      <c r="B48" s="38" t="s">
        <v>65</v>
      </c>
      <c r="C48" s="39" t="s">
        <v>188</v>
      </c>
      <c r="D48" s="39" t="s">
        <v>190</v>
      </c>
      <c r="E48" s="39" t="s">
        <v>193</v>
      </c>
      <c r="F48" s="39">
        <v>2019</v>
      </c>
      <c r="G48" s="39" t="s">
        <v>195</v>
      </c>
      <c r="H48" s="39" t="s">
        <v>221</v>
      </c>
      <c r="I48" s="39" t="s">
        <v>228</v>
      </c>
      <c r="J48" s="39">
        <v>2020</v>
      </c>
      <c r="K48" s="39" t="s">
        <v>245</v>
      </c>
    </row>
    <row r="49" spans="2:11" ht="15" customHeight="1" outlineLevel="1" x14ac:dyDescent="0.25">
      <c r="B49" s="50" t="s">
        <v>197</v>
      </c>
      <c r="C49" s="3">
        <f>'Finansal Veriler - Yeni Segment'!C50/'Finansal Veriler - Yeni - USD'!C$12</f>
        <v>619.97930224318998</v>
      </c>
      <c r="D49" s="3">
        <f>'Finansal Veriler - Yeni Segment'!D50/'Finansal Veriler - Yeni - USD'!D$12</f>
        <v>1061.6769578447245</v>
      </c>
      <c r="E49" s="3">
        <f>'Finansal Veriler - Yeni Segment'!E50/'Finansal Veriler - Yeni - USD'!E$12</f>
        <v>1459.136462068228</v>
      </c>
      <c r="F49" s="3">
        <f>'Finansal Veriler - Yeni Segment'!F50/'Finansal Veriler - Yeni - USD'!F$12</f>
        <v>1858.2476371843741</v>
      </c>
      <c r="G49" s="3">
        <f>'Finansal Veriler - Yeni Segment'!G50/'Finansal Veriler - Yeni - USD'!G$12</f>
        <v>293.36041758999409</v>
      </c>
      <c r="H49" s="3">
        <f>'Finansal Veriler - Yeni Segment'!H50/'Finansal Veriler - Yeni - USD'!H$12</f>
        <v>557.42380003398694</v>
      </c>
      <c r="I49" s="3">
        <f>'Finansal Veriler - Yeni Segment'!I50/'Finansal Veriler - Yeni - USD'!I$12</f>
        <v>753.04920913884223</v>
      </c>
      <c r="J49" s="3">
        <f>'Finansal Veriler - Yeni Segment'!J50/'Finansal Veriler - Yeni - USD'!J$12</f>
        <v>1014.8652083273851</v>
      </c>
      <c r="K49" s="3">
        <f>'Finansal Veriler - Yeni Segment'!K50/'Finansal Veriler - Yeni - USD'!K$12</f>
        <v>284.18244709712422</v>
      </c>
    </row>
    <row r="50" spans="2:11" ht="15" customHeight="1" outlineLevel="1" x14ac:dyDescent="0.25">
      <c r="B50" s="27" t="s">
        <v>198</v>
      </c>
      <c r="C50" s="3">
        <f>'Finansal Veriler - Yeni Segment'!C51/'Finansal Veriler - Yeni - USD'!C$12</f>
        <v>218.42454642078002</v>
      </c>
      <c r="D50" s="3">
        <f>'Finansal Veriler - Yeni Segment'!D51/'Finansal Veriler - Yeni - USD'!D$12</f>
        <v>366.77562859227351</v>
      </c>
      <c r="E50" s="3">
        <f>'Finansal Veriler - Yeni Segment'!E51/'Finansal Veriler - Yeni - USD'!E$12</f>
        <v>467.32223366111583</v>
      </c>
      <c r="F50" s="3">
        <f>'Finansal Veriler - Yeni Segment'!F51/'Finansal Veriler - Yeni - USD'!F$12</f>
        <v>606.47252786006618</v>
      </c>
      <c r="G50" s="3">
        <f>'Finansal Veriler - Yeni Segment'!G51/'Finansal Veriler - Yeni - USD'!G$12</f>
        <v>182.9503783588585</v>
      </c>
      <c r="H50" s="3">
        <f>'Finansal Veriler - Yeni Segment'!H51/'Finansal Veriler - Yeni - USD'!H$12</f>
        <v>274.43620521851977</v>
      </c>
      <c r="I50" s="3">
        <f>'Finansal Veriler - Yeni Segment'!I51/'Finansal Veriler - Yeni - USD'!I$12</f>
        <v>415.82884036817615</v>
      </c>
      <c r="J50" s="3">
        <f>'Finansal Veriler - Yeni Segment'!J51/'Finansal Veriler - Yeni - USD'!J$12</f>
        <v>555.13136476568593</v>
      </c>
      <c r="K50" s="3">
        <f>'Finansal Veriler - Yeni Segment'!K51/'Finansal Veriler - Yeni - USD'!K$12</f>
        <v>211.70550732501357</v>
      </c>
    </row>
    <row r="51" spans="2:11" ht="15" customHeight="1" outlineLevel="1" x14ac:dyDescent="0.25">
      <c r="B51" s="27" t="s">
        <v>199</v>
      </c>
      <c r="C51" s="3">
        <f>'Finansal Veriler - Yeni Segment'!C52/'Finansal Veriler - Yeni - USD'!C$12</f>
        <v>0.80311025750993026</v>
      </c>
      <c r="D51" s="3">
        <f>'Finansal Veriler - Yeni Segment'!D52/'Finansal Veriler - Yeni - USD'!D$12</f>
        <v>14.308059149064894</v>
      </c>
      <c r="E51" s="3">
        <f>'Finansal Veriler - Yeni Segment'!E52/'Finansal Veriler - Yeni - USD'!E$12</f>
        <v>25.966487983243933</v>
      </c>
      <c r="F51" s="3">
        <f>'Finansal Veriler - Yeni Segment'!F52/'Finansal Veriler - Yeni - USD'!F$12</f>
        <v>36.258816476230855</v>
      </c>
      <c r="G51" s="3">
        <f>'Finansal Veriler - Yeni Segment'!G52/'Finansal Veriler - Yeni - USD'!G$12</f>
        <v>1.843535070008703</v>
      </c>
      <c r="H51" s="3">
        <f>'Finansal Veriler - Yeni Segment'!H52/'Finansal Veriler - Yeni - USD'!H$12</f>
        <v>9.0624275849283968</v>
      </c>
      <c r="I51" s="3">
        <f>'Finansal Veriler - Yeni Segment'!I52/'Finansal Veriler - Yeni - USD'!I$12</f>
        <v>19.649399779571713</v>
      </c>
      <c r="J51" s="3">
        <f>'Finansal Veriler - Yeni Segment'!J52/'Finansal Veriler - Yeni - USD'!J$12</f>
        <v>28.641659765256911</v>
      </c>
      <c r="K51" s="3">
        <f>'Finansal Veriler - Yeni Segment'!K52/'Finansal Veriler - Yeni - USD'!K$12</f>
        <v>0.7132392837764514</v>
      </c>
    </row>
    <row r="52" spans="2:11" ht="15" customHeight="1" outlineLevel="1" x14ac:dyDescent="0.25">
      <c r="B52" s="27" t="s">
        <v>200</v>
      </c>
      <c r="C52" s="3">
        <f>'Finansal Veriler - Yeni Segment'!C53/'Finansal Veriler - Yeni - USD'!C$12</f>
        <v>14.265416099498422</v>
      </c>
      <c r="D52" s="3">
        <f>'Finansal Veriler - Yeni Segment'!D53/'Finansal Veriler - Yeni - USD'!D$12</f>
        <v>31.525882164528351</v>
      </c>
      <c r="E52" s="3">
        <f>'Finansal Veriler - Yeni Segment'!E53/'Finansal Veriler - Yeni - USD'!E$12</f>
        <v>47.159288579644183</v>
      </c>
      <c r="F52" s="3">
        <f>'Finansal Veriler - Yeni Segment'!F53/'Finansal Veriler - Yeni - USD'!F$12</f>
        <v>66.555402736634363</v>
      </c>
      <c r="G52" s="3">
        <f>'Finansal Veriler - Yeni Segment'!G53/'Finansal Veriler - Yeni - USD'!G$12</f>
        <v>16.024195269283197</v>
      </c>
      <c r="H52" s="3">
        <f>'Finansal Veriler - Yeni Segment'!H53/'Finansal Veriler - Yeni - USD'!H$12</f>
        <v>32.989448641300157</v>
      </c>
      <c r="I52" s="3">
        <f>'Finansal Veriler - Yeni Segment'!I53/'Finansal Veriler - Yeni - USD'!I$12</f>
        <v>53.297042089899172</v>
      </c>
      <c r="J52" s="3">
        <f>'Finansal Veriler - Yeni Segment'!J53/'Finansal Veriler - Yeni - USD'!J$12</f>
        <v>69.429705571579603</v>
      </c>
      <c r="K52" s="3">
        <f>'Finansal Veriler - Yeni Segment'!K53/'Finansal Veriler - Yeni - USD'!K$12</f>
        <v>16.030385241454152</v>
      </c>
    </row>
    <row r="53" spans="2:11" ht="15" customHeight="1" outlineLevel="1" x14ac:dyDescent="0.25">
      <c r="B53" s="27" t="s">
        <v>201</v>
      </c>
      <c r="C53" s="3">
        <f>'Finansal Veriler - Yeni Segment'!C54/'Finansal Veriler - Yeni - USD'!C$12</f>
        <v>1.937571090268327</v>
      </c>
      <c r="D53" s="3">
        <f>'Finansal Veriler - Yeni Segment'!D54/'Finansal Veriler - Yeni - USD'!D$12</f>
        <v>3.7074932825595668</v>
      </c>
      <c r="E53" s="3">
        <f>'Finansal Veriler - Yeni Segment'!E54/'Finansal Veriler - Yeni - USD'!E$12</f>
        <v>5.6011928005963885</v>
      </c>
      <c r="F53" s="3">
        <f>'Finansal Veriler - Yeni Segment'!F54/'Finansal Veriler - Yeni - USD'!F$12</f>
        <v>7.4680843560445922</v>
      </c>
      <c r="G53" s="3">
        <f>'Finansal Veriler - Yeni Segment'!G54/'Finansal Veriler - Yeni - USD'!G$12</f>
        <v>1.8638892992564173</v>
      </c>
      <c r="H53" s="3">
        <f>'Finansal Veriler - Yeni Segment'!H54/'Finansal Veriler - Yeni - USD'!H$12</f>
        <v>3.6192859680832994</v>
      </c>
      <c r="I53" s="3">
        <f>'Finansal Veriler - Yeni Segment'!I54/'Finansal Veriler - Yeni - USD'!I$12</f>
        <v>5.32155729647614</v>
      </c>
      <c r="J53" s="3">
        <f>'Finansal Veriler - Yeni Segment'!J54/'Finansal Veriler - Yeni - USD'!J$12</f>
        <v>6.8012679555644482</v>
      </c>
      <c r="K53" s="3">
        <f>'Finansal Veriler - Yeni Segment'!K54/'Finansal Veriler - Yeni - USD'!K$12</f>
        <v>1.5560227889310907</v>
      </c>
    </row>
    <row r="54" spans="2:11" ht="15" customHeight="1" outlineLevel="1" x14ac:dyDescent="0.25">
      <c r="B54" s="51" t="s">
        <v>77</v>
      </c>
      <c r="C54" s="52">
        <f>SUM(C49:C53)</f>
        <v>855.40994611124665</v>
      </c>
      <c r="D54" s="52">
        <f t="shared" ref="D54:J54" si="18">SUM(D49:D53)</f>
        <v>1477.9940210331511</v>
      </c>
      <c r="E54" s="52">
        <f t="shared" si="18"/>
        <v>2005.1856650928285</v>
      </c>
      <c r="F54" s="52">
        <f t="shared" si="18"/>
        <v>2575.0024686133502</v>
      </c>
      <c r="G54" s="52">
        <f t="shared" si="18"/>
        <v>496.04241558740097</v>
      </c>
      <c r="H54" s="52">
        <f t="shared" si="18"/>
        <v>877.53116744681859</v>
      </c>
      <c r="I54" s="52">
        <f t="shared" si="18"/>
        <v>1247.1460486729654</v>
      </c>
      <c r="J54" s="52">
        <f t="shared" si="18"/>
        <v>1674.8692063854721</v>
      </c>
      <c r="K54" s="52">
        <f t="shared" ref="K54" si="19">SUM(K49:K53)</f>
        <v>514.18760173629937</v>
      </c>
    </row>
    <row r="55" spans="2:11" ht="15" customHeight="1" outlineLevel="1" x14ac:dyDescent="0.25">
      <c r="B55" s="50" t="s">
        <v>197</v>
      </c>
      <c r="C55" s="3">
        <f>'Finansal Veriler - Yeni Segment'!C56/'Finansal Veriler - Yeni - USD'!C$12</f>
        <v>150.77197038915529</v>
      </c>
      <c r="D55" s="3">
        <f>'Finansal Veriler - Yeni Segment'!D56/'Finansal Veriler - Yeni - USD'!D$12</f>
        <v>192.7561969500151</v>
      </c>
      <c r="E55" s="3">
        <f>'Finansal Veriler - Yeni Segment'!E56/'Finansal Veriler - Yeni - USD'!E$12</f>
        <v>249.85924242962065</v>
      </c>
      <c r="F55" s="3">
        <f>'Finansal Veriler - Yeni Segment'!F56/'Finansal Veriler - Yeni - USD'!F$12</f>
        <v>255.92537734518319</v>
      </c>
      <c r="G55" s="3">
        <f>'Finansal Veriler - Yeni Segment'!G56/'Finansal Veriler - Yeni - USD'!G$12</f>
        <v>-7.58851627517606</v>
      </c>
      <c r="H55" s="3">
        <f>'Finansal Veriler - Yeni Segment'!H56/'Finansal Veriler - Yeni - USD'!H$12</f>
        <v>6.9096723362840073</v>
      </c>
      <c r="I55" s="3">
        <f>'Finansal Veriler - Yeni Segment'!I56/'Finansal Veriler - Yeni - USD'!I$12</f>
        <v>-24.624527121622901</v>
      </c>
      <c r="J55" s="3">
        <f>'Finansal Veriler - Yeni Segment'!J56/'Finansal Veriler - Yeni - USD'!J$12</f>
        <v>-49.108147471228321</v>
      </c>
      <c r="K55" s="3">
        <f>'Finansal Veriler - Yeni Segment'!K56/'Finansal Veriler - Yeni - USD'!K$12</f>
        <v>14.759495387954424</v>
      </c>
    </row>
    <row r="56" spans="2:11" ht="15" customHeight="1" outlineLevel="1" x14ac:dyDescent="0.25">
      <c r="B56" s="27" t="s">
        <v>198</v>
      </c>
      <c r="C56" s="3">
        <f>'Finansal Veriler - Yeni Segment'!C57/'Finansal Veriler - Yeni - USD'!C$12</f>
        <v>28.04173115292102</v>
      </c>
      <c r="D56" s="3">
        <f>'Finansal Veriler - Yeni Segment'!D57/'Finansal Veriler - Yeni - USD'!D$12</f>
        <v>56.030037190597355</v>
      </c>
      <c r="E56" s="3">
        <f>'Finansal Veriler - Yeni Segment'!E57/'Finansal Veriler - Yeni - USD'!E$12</f>
        <v>70.152827576413628</v>
      </c>
      <c r="F56" s="3">
        <f>'Finansal Veriler - Yeni Segment'!F57/'Finansal Veriler - Yeni - USD'!F$12</f>
        <v>80.683805896459475</v>
      </c>
      <c r="G56" s="3">
        <f>'Finansal Veriler - Yeni Segment'!G57/'Finansal Veriler - Yeni - USD'!G$12</f>
        <v>28.640042021634628</v>
      </c>
      <c r="H56" s="3">
        <f>'Finansal Veriler - Yeni Segment'!H57/'Finansal Veriler - Yeni - USD'!H$12</f>
        <v>43.393737158393975</v>
      </c>
      <c r="I56" s="3">
        <f>'Finansal Veriler - Yeni Segment'!I57/'Finansal Veriler - Yeni - USD'!I$12</f>
        <v>71.177802269816411</v>
      </c>
      <c r="J56" s="3">
        <f>'Finansal Veriler - Yeni Segment'!J57/'Finansal Veriler - Yeni - USD'!J$12</f>
        <v>105.05868578119212</v>
      </c>
      <c r="K56" s="3">
        <f>'Finansal Veriler - Yeni Segment'!K57/'Finansal Veriler - Yeni - USD'!K$12</f>
        <v>52.989283776451437</v>
      </c>
    </row>
    <row r="57" spans="2:11" ht="15" customHeight="1" outlineLevel="1" x14ac:dyDescent="0.25">
      <c r="B57" s="27" t="s">
        <v>199</v>
      </c>
      <c r="C57" s="3">
        <f>'Finansal Veriler - Yeni Segment'!C58/'Finansal Veriler - Yeni - USD'!C$12</f>
        <v>-0.5215461783736417</v>
      </c>
      <c r="D57" s="3">
        <f>'Finansal Veriler - Yeni Segment'!D58/'Finansal Veriler - Yeni - USD'!D$12</f>
        <v>0.98154705767211758</v>
      </c>
      <c r="E57" s="3">
        <f>'Finansal Veriler - Yeni Segment'!E58/'Finansal Veriler - Yeni - USD'!E$12</f>
        <v>-0.17483758741879332</v>
      </c>
      <c r="F57" s="3">
        <f>'Finansal Veriler - Yeni Segment'!F58/'Finansal Veriler - Yeni - USD'!F$12</f>
        <v>-1.3988221187755707</v>
      </c>
      <c r="G57" s="3">
        <f>'Finansal Veriler - Yeni Segment'!G58/'Finansal Veriler - Yeni - USD'!G$12</f>
        <v>-1.3011933487631544</v>
      </c>
      <c r="H57" s="3">
        <f>'Finansal Veriler - Yeni Segment'!H58/'Finansal Veriler - Yeni - USD'!H$12</f>
        <v>-0.93849932798813573</v>
      </c>
      <c r="I57" s="3">
        <f>'Finansal Veriler - Yeni Segment'!I58/'Finansal Veriler - Yeni - USD'!I$12</f>
        <v>-1.7166602126835711</v>
      </c>
      <c r="J57" s="3">
        <f>'Finansal Veriler - Yeni Segment'!J58/'Finansal Veriler - Yeni - USD'!J$12</f>
        <v>-4.0124796527401028</v>
      </c>
      <c r="K57" s="3">
        <f>'Finansal Veriler - Yeni Segment'!K58/'Finansal Veriler - Yeni - USD'!K$12</f>
        <v>-1.5462561041779705</v>
      </c>
    </row>
    <row r="58" spans="2:11" ht="15" customHeight="1" outlineLevel="1" x14ac:dyDescent="0.25">
      <c r="B58" s="27" t="s">
        <v>200</v>
      </c>
      <c r="C58" s="3">
        <f>'Finansal Veriler - Yeni Segment'!C59/'Finansal Veriler - Yeni - USD'!C$12</f>
        <v>2.5652165805814042</v>
      </c>
      <c r="D58" s="3">
        <f>'Finansal Veriler - Yeni Segment'!D59/'Finansal Veriler - Yeni - USD'!D$12</f>
        <v>8.0840614267665529</v>
      </c>
      <c r="E58" s="3">
        <f>'Finansal Veriler - Yeni Segment'!E59/'Finansal Veriler - Yeni - USD'!E$12</f>
        <v>11.469700734850342</v>
      </c>
      <c r="F58" s="3">
        <f>'Finansal Veriler - Yeni Segment'!F59/'Finansal Veriler - Yeni - USD'!F$12</f>
        <v>18.287487656933315</v>
      </c>
      <c r="G58" s="3">
        <f>'Finansal Veriler - Yeni Segment'!G59/'Finansal Veriler - Yeni - USD'!G$12</f>
        <v>4.110733572987975</v>
      </c>
      <c r="H58" s="3">
        <f>'Finansal Veriler - Yeni Segment'!H59/'Finansal Veriler - Yeni - USD'!H$12</f>
        <v>11.564783488591249</v>
      </c>
      <c r="I58" s="3">
        <f>'Finansal Veriler - Yeni Segment'!I59/'Finansal Veriler - Yeni - USD'!I$12</f>
        <v>19.921211760150186</v>
      </c>
      <c r="J58" s="3">
        <f>'Finansal Veriler - Yeni Segment'!J59/'Finansal Veriler - Yeni - USD'!J$12</f>
        <v>25.106091327069741</v>
      </c>
      <c r="K58" s="3">
        <f>'Finansal Veriler - Yeni Segment'!K59/'Finansal Veriler - Yeni - USD'!K$12</f>
        <v>5.3598752034725985</v>
      </c>
    </row>
    <row r="59" spans="2:11" ht="15" customHeight="1" outlineLevel="1" x14ac:dyDescent="0.25">
      <c r="B59" s="27" t="s">
        <v>201</v>
      </c>
      <c r="C59" s="3">
        <f>'Finansal Veriler - Yeni Segment'!C60/'Finansal Veriler - Yeni - USD'!C$12</f>
        <v>-5.0875459173208579</v>
      </c>
      <c r="D59" s="3">
        <f>'Finansal Veriler - Yeni Segment'!D60/'Finansal Veriler - Yeni - USD'!D$12</f>
        <v>-9.1983557841165879</v>
      </c>
      <c r="E59" s="3">
        <f>'Finansal Veriler - Yeni Segment'!E60/'Finansal Veriler - Yeni - USD'!E$12</f>
        <v>-11.950370975185461</v>
      </c>
      <c r="F59" s="3">
        <f>'Finansal Veriler - Yeni Segment'!F60/'Finansal Veriler - Yeni - USD'!F$12</f>
        <v>-14.760368176047429</v>
      </c>
      <c r="G59" s="3">
        <f>'Finansal Veriler - Yeni Segment'!G60/'Finansal Veriler - Yeni - USD'!G$12</f>
        <v>-3.5652730585512442</v>
      </c>
      <c r="H59" s="3">
        <f>'Finansal Veriler - Yeni Segment'!H60/'Finansal Veriler - Yeni - USD'!H$12</f>
        <v>-7.0337241816131391</v>
      </c>
      <c r="I59" s="3">
        <f>'Finansal Veriler - Yeni Segment'!I60/'Finansal Veriler - Yeni - USD'!I$12</f>
        <v>-8.6323016889577566</v>
      </c>
      <c r="J59" s="3">
        <f>'Finansal Veriler - Yeni Segment'!J60/'Finansal Veriler - Yeni - USD'!J$12</f>
        <v>-11.539966302081861</v>
      </c>
      <c r="K59" s="3">
        <f>'Finansal Veriler - Yeni Segment'!K60/'Finansal Veriler - Yeni - USD'!K$12</f>
        <v>-1.5504612045577861</v>
      </c>
    </row>
    <row r="60" spans="2:11" ht="15" customHeight="1" outlineLevel="1" x14ac:dyDescent="0.25">
      <c r="B60" s="51" t="s">
        <v>78</v>
      </c>
      <c r="C60" s="52">
        <f>SUM(C55:C59)</f>
        <v>175.76982602696319</v>
      </c>
      <c r="D60" s="52">
        <f t="shared" ref="D60" si="20">SUM(D55:D59)</f>
        <v>248.65348684093453</v>
      </c>
      <c r="E60" s="52">
        <f t="shared" ref="E60" si="21">SUM(E55:E59)</f>
        <v>319.35656217828034</v>
      </c>
      <c r="F60" s="52">
        <f t="shared" ref="F60" si="22">SUM(F55:F59)</f>
        <v>338.73748060375294</v>
      </c>
      <c r="G60" s="52">
        <f t="shared" ref="G60" si="23">SUM(G55:G59)</f>
        <v>20.295792912132143</v>
      </c>
      <c r="H60" s="52">
        <f t="shared" ref="H60" si="24">SUM(H55:H59)</f>
        <v>53.895969473667961</v>
      </c>
      <c r="I60" s="52">
        <f>SUM(I55:I59)</f>
        <v>56.125525006702375</v>
      </c>
      <c r="J60" s="52">
        <f t="shared" ref="J60:K60" si="25">SUM(J55:J59)</f>
        <v>65.504183682211576</v>
      </c>
      <c r="K60" s="52">
        <f t="shared" si="25"/>
        <v>70.011937059142696</v>
      </c>
    </row>
    <row r="61" spans="2:11" ht="15" customHeight="1" outlineLevel="1" x14ac:dyDescent="0.25">
      <c r="B61" s="50" t="s">
        <v>197</v>
      </c>
      <c r="C61" s="3">
        <f>'Finansal Veriler - Yeni Segment'!C62/'Finansal Veriler - Yeni - USD'!C$12</f>
        <v>118.12060638833481</v>
      </c>
      <c r="D61" s="3">
        <f>'Finansal Veriler - Yeni Segment'!D62/'Finansal Veriler - Yeni - USD'!D$12</f>
        <v>153.37188817908427</v>
      </c>
      <c r="E61" s="3">
        <f>'Finansal Veriler - Yeni Segment'!E62/'Finansal Veriler - Yeni - USD'!E$12</f>
        <v>189.38815719407816</v>
      </c>
      <c r="F61" s="3">
        <f>'Finansal Veriler - Yeni Segment'!F62/'Finansal Veriler - Yeni - USD'!F$12</f>
        <v>174.69618422908766</v>
      </c>
      <c r="G61" s="3">
        <f>'Finansal Veriler - Yeni Segment'!G62/'Finansal Veriler - Yeni - USD'!G$12</f>
        <v>-14.829040889020233</v>
      </c>
      <c r="H61" s="3">
        <f>'Finansal Veriler - Yeni Segment'!H62/'Finansal Veriler - Yeni - USD'!H$12</f>
        <v>-16.644575242156002</v>
      </c>
      <c r="I61" s="3">
        <f>'Finansal Veriler - Yeni Segment'!I62/'Finansal Veriler - Yeni - USD'!I$12</f>
        <v>-56.285335557475364</v>
      </c>
      <c r="J61" s="3">
        <f>'Finansal Veriler - Yeni Segment'!J62/'Finansal Veriler - Yeni - USD'!J$12</f>
        <v>-95.18976497129978</v>
      </c>
      <c r="K61" s="3">
        <f>'Finansal Veriler - Yeni Segment'!K62/'Finansal Veriler - Yeni - USD'!K$12</f>
        <v>1.5824742268041239</v>
      </c>
    </row>
    <row r="62" spans="2:11" ht="15" customHeight="1" outlineLevel="1" x14ac:dyDescent="0.25">
      <c r="B62" s="27" t="s">
        <v>198</v>
      </c>
      <c r="C62" s="3">
        <f>'Finansal Veriler - Yeni Segment'!C63/'Finansal Veriler - Yeni - USD'!C$12</f>
        <v>19.709112606985045</v>
      </c>
      <c r="D62" s="3">
        <f>'Finansal Veriler - Yeni Segment'!D63/'Finansal Veriler - Yeni - USD'!D$12</f>
        <v>41.976084132604939</v>
      </c>
      <c r="E62" s="3">
        <f>'Finansal Veriler - Yeni Segment'!E63/'Finansal Veriler - Yeni - USD'!E$12</f>
        <v>51.997763498881632</v>
      </c>
      <c r="F62" s="3">
        <f>'Finansal Veriler - Yeni Segment'!F63/'Finansal Veriler - Yeni - USD'!F$12</f>
        <v>57.01844406827491</v>
      </c>
      <c r="G62" s="3">
        <f>'Finansal Veriler - Yeni Segment'!G63/'Finansal Veriler - Yeni - USD'!G$12</f>
        <v>14.66275996782721</v>
      </c>
      <c r="H62" s="3">
        <f>'Finansal Veriler - Yeni Segment'!H63/'Finansal Veriler - Yeni - USD'!H$12</f>
        <v>20.792819514606606</v>
      </c>
      <c r="I62" s="3">
        <f>'Finansal Veriler - Yeni Segment'!I63/'Finansal Veriler - Yeni - USD'!I$12</f>
        <v>38.284531291888946</v>
      </c>
      <c r="J62" s="3">
        <f>'Finansal Veriler - Yeni Segment'!J63/'Finansal Veriler - Yeni - USD'!J$12</f>
        <v>64.335893994345682</v>
      </c>
      <c r="K62" s="3">
        <f>'Finansal Veriler - Yeni Segment'!K63/'Finansal Veriler - Yeni - USD'!K$12</f>
        <v>42.099294628323385</v>
      </c>
    </row>
    <row r="63" spans="2:11" ht="15" customHeight="1" outlineLevel="1" x14ac:dyDescent="0.25">
      <c r="B63" s="27" t="s">
        <v>199</v>
      </c>
      <c r="C63" s="3">
        <f>'Finansal Veriler - Yeni Segment'!C64/'Finansal Veriler - Yeni - USD'!C$12</f>
        <v>-0.42122732103899052</v>
      </c>
      <c r="D63" s="3">
        <f>'Finansal Veriler - Yeni Segment'!D64/'Finansal Veriler - Yeni - USD'!D$12</f>
        <v>-0.48472338381052366</v>
      </c>
      <c r="E63" s="3">
        <f>'Finansal Veriler - Yeni Segment'!E64/'Finansal Veriler - Yeni - USD'!E$12</f>
        <v>-1.8635734317867119</v>
      </c>
      <c r="F63" s="3">
        <f>'Finansal Veriler - Yeni Segment'!F64/'Finansal Veriler - Yeni - USD'!F$12</f>
        <v>-3.4241430385103753</v>
      </c>
      <c r="G63" s="3">
        <f>'Finansal Veriler - Yeni Segment'!G64/'Finansal Veriler - Yeni - USD'!G$12</f>
        <v>-2.4425075097257145</v>
      </c>
      <c r="H63" s="3">
        <f>'Finansal Veriler - Yeni Segment'!H64/'Finansal Veriler - Yeni - USD'!H$12</f>
        <v>-2.8879516769399518</v>
      </c>
      <c r="I63" s="3">
        <f>'Finansal Veriler - Yeni Segment'!I64/'Finansal Veriler - Yeni - USD'!I$12</f>
        <v>-5.4803252807482812</v>
      </c>
      <c r="J63" s="3">
        <f>'Finansal Veriler - Yeni Segment'!J64/'Finansal Veriler - Yeni - USD'!J$12</f>
        <v>-9.4471256818117038</v>
      </c>
      <c r="K63" s="3">
        <f>'Finansal Veriler - Yeni Segment'!K64/'Finansal Veriler - Yeni - USD'!K$12</f>
        <v>-4.1134020618556706</v>
      </c>
    </row>
    <row r="64" spans="2:11" ht="15" customHeight="1" outlineLevel="1" x14ac:dyDescent="0.25">
      <c r="B64" s="27" t="s">
        <v>200</v>
      </c>
      <c r="C64" s="3">
        <f>'Finansal Veriler - Yeni Segment'!C65/'Finansal Veriler - Yeni - USD'!C$12</f>
        <v>2.3916164761602889</v>
      </c>
      <c r="D64" s="3">
        <f>'Finansal Veriler - Yeni Segment'!D65/'Finansal Veriler - Yeni - USD'!D$12</f>
        <v>6.7033827428510406</v>
      </c>
      <c r="E64" s="3">
        <f>'Finansal Veriler - Yeni Segment'!E65/'Finansal Veriler - Yeni - USD'!E$12</f>
        <v>8.9997869998934803</v>
      </c>
      <c r="F64" s="3">
        <f>'Finansal Veriler - Yeni Segment'!F65/'Finansal Veriler - Yeni - USD'!F$12</f>
        <v>14.020313161235746</v>
      </c>
      <c r="G64" s="3">
        <f>'Finansal Veriler - Yeni Segment'!G65/'Finansal Veriler - Yeni - USD'!G$12</f>
        <v>2.9618686495625535</v>
      </c>
      <c r="H64" s="3">
        <f>'Finansal Veriler - Yeni Segment'!H65/'Finansal Veriler - Yeni - USD'!H$12</f>
        <v>8.4435587276575372</v>
      </c>
      <c r="I64" s="3">
        <f>'Finansal Veriler - Yeni Segment'!I65/'Finansal Veriler - Yeni - USD'!I$12</f>
        <v>15.447112090792695</v>
      </c>
      <c r="J64" s="3">
        <f>'Finansal Veriler - Yeni Segment'!J65/'Finansal Veriler - Yeni - USD'!J$12</f>
        <v>18.808150326984059</v>
      </c>
      <c r="K64" s="3">
        <f>'Finansal Veriler - Yeni Segment'!K65/'Finansal Veriler - Yeni - USD'!K$12</f>
        <v>4.3442756375474776</v>
      </c>
    </row>
    <row r="65" spans="1:11" ht="15" customHeight="1" outlineLevel="1" x14ac:dyDescent="0.25">
      <c r="B65" s="27" t="s">
        <v>201</v>
      </c>
      <c r="C65" s="3">
        <f>'Finansal Veriler - Yeni Segment'!C66/'Finansal Veriler - Yeni - USD'!C$12</f>
        <v>5.8123403382498333</v>
      </c>
      <c r="D65" s="3">
        <f>'Finansal Veriler - Yeni Segment'!D66/'Finansal Veriler - Yeni - USD'!D$12</f>
        <v>8.2952826663345007</v>
      </c>
      <c r="E65" s="3">
        <f>'Finansal Veriler - Yeni Segment'!E66/'Finansal Veriler - Yeni - USD'!E$12</f>
        <v>6.4299407149703436</v>
      </c>
      <c r="F65" s="3">
        <f>'Finansal Veriler - Yeni Segment'!F66/'Finansal Veriler - Yeni - USD'!F$12</f>
        <v>7.1706164480180705</v>
      </c>
      <c r="G65" s="3">
        <f>'Finansal Veriler - Yeni Segment'!G66/'Finansal Veriler - Yeni - USD'!G$12</f>
        <v>7.2566110208302677</v>
      </c>
      <c r="H65" s="3">
        <f>'Finansal Veriler - Yeni Segment'!H66/'Finansal Veriler - Yeni - USD'!H$12</f>
        <v>12.143795090451254</v>
      </c>
      <c r="I65" s="3">
        <f>'Finansal Veriler - Yeni Segment'!I66/'Finansal Veriler - Yeni - USD'!I$12</f>
        <v>27.092133091060813</v>
      </c>
      <c r="J65" s="3">
        <f>'Finansal Veriler - Yeni Segment'!J66/'Finansal Veriler - Yeni - USD'!J$12</f>
        <v>11.869234943027687</v>
      </c>
      <c r="K65" s="3">
        <f>'Finansal Veriler - Yeni Segment'!K66/'Finansal Veriler - Yeni - USD'!K$12</f>
        <v>11.618827997829625</v>
      </c>
    </row>
    <row r="66" spans="1:11" ht="15" customHeight="1" outlineLevel="1" x14ac:dyDescent="0.25">
      <c r="A66" s="65" t="s">
        <v>165</v>
      </c>
      <c r="B66" s="51" t="s">
        <v>79</v>
      </c>
      <c r="C66" s="52">
        <f>SUM(C61:C65)</f>
        <v>145.612448488691</v>
      </c>
      <c r="D66" s="52">
        <f t="shared" ref="D66" si="26">SUM(D61:D65)</f>
        <v>209.86191433706421</v>
      </c>
      <c r="E66" s="52">
        <f t="shared" ref="E66" si="27">SUM(E61:E65)</f>
        <v>254.9520749760369</v>
      </c>
      <c r="F66" s="52">
        <f t="shared" ref="F66" si="28">SUM(F61:F65)</f>
        <v>249.48141486810601</v>
      </c>
      <c r="G66" s="52">
        <f t="shared" ref="G66" si="29">SUM(G61:G65)</f>
        <v>7.6096912394740839</v>
      </c>
      <c r="H66" s="52">
        <f t="shared" ref="H66" si="30">SUM(H61:H65)</f>
        <v>21.847646413619444</v>
      </c>
      <c r="I66" s="52">
        <f t="shared" ref="I66" si="31">SUM(I61:I65)</f>
        <v>19.05811563551881</v>
      </c>
      <c r="J66" s="52">
        <f t="shared" ref="J66:K66" si="32">SUM(J61:J65)</f>
        <v>-9.6236113887540586</v>
      </c>
      <c r="K66" s="52">
        <f t="shared" si="32"/>
        <v>55.531470428648937</v>
      </c>
    </row>
    <row r="67" spans="1:11" ht="15" customHeight="1" x14ac:dyDescent="0.25">
      <c r="B67" s="60"/>
      <c r="C67" s="86"/>
      <c r="D67" s="86"/>
      <c r="E67" s="86"/>
      <c r="F67" s="86"/>
    </row>
    <row r="68" spans="1:11" ht="15" customHeight="1" x14ac:dyDescent="0.25">
      <c r="B68" s="60"/>
      <c r="C68" s="86"/>
      <c r="D68" s="86"/>
      <c r="E68" s="86"/>
      <c r="F68" s="86"/>
    </row>
    <row r="69" spans="1:11" ht="20.100000000000001" customHeight="1" outlineLevel="1" x14ac:dyDescent="0.25">
      <c r="B69" s="36" t="s">
        <v>243</v>
      </c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5" customHeight="1" outlineLevel="1" x14ac:dyDescent="0.25">
      <c r="B70" s="50" t="s">
        <v>197</v>
      </c>
      <c r="C70" s="122">
        <f t="shared" ref="C70:K75" si="33">IFERROR(C55/C49,"n.m.")</f>
        <v>0.24318871588718655</v>
      </c>
      <c r="D70" s="122">
        <f t="shared" si="33"/>
        <v>0.1815582372074111</v>
      </c>
      <c r="E70" s="122">
        <f t="shared" si="33"/>
        <v>0.17123774843886908</v>
      </c>
      <c r="F70" s="122">
        <f t="shared" si="33"/>
        <v>0.13772404292302107</v>
      </c>
      <c r="G70" s="122">
        <f t="shared" si="33"/>
        <v>-2.586755342631776E-2</v>
      </c>
      <c r="H70" s="122">
        <f t="shared" si="33"/>
        <v>1.2395725363471589E-2</v>
      </c>
      <c r="I70" s="122">
        <f t="shared" si="33"/>
        <v>-3.269975829306368E-2</v>
      </c>
      <c r="J70" s="122">
        <f>IFERROR(J55/J49,"n.m.")</f>
        <v>-4.8388837323691695E-2</v>
      </c>
      <c r="K70" s="122">
        <f t="shared" ref="K70" si="34">IFERROR(K55/K49,"n.m.")</f>
        <v>5.1936689048603039E-2</v>
      </c>
    </row>
    <row r="71" spans="1:11" ht="15" customHeight="1" outlineLevel="1" x14ac:dyDescent="0.25">
      <c r="B71" s="27" t="s">
        <v>198</v>
      </c>
      <c r="C71" s="122">
        <f t="shared" si="33"/>
        <v>0.12838177582340279</v>
      </c>
      <c r="D71" s="122">
        <f t="shared" si="33"/>
        <v>0.15276379569069787</v>
      </c>
      <c r="E71" s="122">
        <f t="shared" si="33"/>
        <v>0.15011660589486475</v>
      </c>
      <c r="F71" s="122">
        <f t="shared" si="33"/>
        <v>0.13303785775944657</v>
      </c>
      <c r="G71" s="122">
        <f t="shared" si="33"/>
        <v>0.15654541017377388</v>
      </c>
      <c r="H71" s="122">
        <f t="shared" si="33"/>
        <v>0.15811957873357751</v>
      </c>
      <c r="I71" s="122">
        <f t="shared" si="33"/>
        <v>0.17117091302949397</v>
      </c>
      <c r="J71" s="122">
        <f t="shared" si="33"/>
        <v>0.18925013510187105</v>
      </c>
      <c r="K71" s="122">
        <f t="shared" si="33"/>
        <v>0.25029714364067757</v>
      </c>
    </row>
    <row r="72" spans="1:11" ht="15" customHeight="1" outlineLevel="1" x14ac:dyDescent="0.25">
      <c r="B72" s="27" t="s">
        <v>199</v>
      </c>
      <c r="C72" s="122">
        <f t="shared" si="33"/>
        <v>-0.64940794056187601</v>
      </c>
      <c r="D72" s="122">
        <f t="shared" si="33"/>
        <v>6.860099245090602E-2</v>
      </c>
      <c r="E72" s="122">
        <f t="shared" si="33"/>
        <v>-6.7332011757468046E-3</v>
      </c>
      <c r="F72" s="122">
        <f t="shared" si="33"/>
        <v>-3.8578813505745733E-2</v>
      </c>
      <c r="G72" s="122">
        <f t="shared" si="33"/>
        <v>-0.70581426409046377</v>
      </c>
      <c r="H72" s="122">
        <f t="shared" si="33"/>
        <v>-0.10355937404111693</v>
      </c>
      <c r="I72" s="122">
        <f t="shared" si="33"/>
        <v>-8.736451148336237E-2</v>
      </c>
      <c r="J72" s="122">
        <f t="shared" si="33"/>
        <v>-0.14009242780012862</v>
      </c>
      <c r="K72" s="122">
        <f t="shared" si="33"/>
        <v>-2.1679345758843667</v>
      </c>
    </row>
    <row r="73" spans="1:11" ht="15" customHeight="1" outlineLevel="1" x14ac:dyDescent="0.25">
      <c r="B73" s="27" t="s">
        <v>200</v>
      </c>
      <c r="C73" s="122">
        <f t="shared" si="33"/>
        <v>0.17982066297187072</v>
      </c>
      <c r="D73" s="122">
        <f t="shared" si="33"/>
        <v>0.25642617658015648</v>
      </c>
      <c r="E73" s="122">
        <f t="shared" si="33"/>
        <v>0.24321191180566534</v>
      </c>
      <c r="F73" s="122">
        <f t="shared" si="33"/>
        <v>0.27477089620054629</v>
      </c>
      <c r="G73" s="122">
        <f t="shared" si="33"/>
        <v>0.25653291812212536</v>
      </c>
      <c r="H73" s="122">
        <f t="shared" si="33"/>
        <v>0.35056007192897015</v>
      </c>
      <c r="I73" s="122">
        <f t="shared" si="33"/>
        <v>0.37377706114624404</v>
      </c>
      <c r="J73" s="122">
        <f t="shared" si="33"/>
        <v>0.36160446195737123</v>
      </c>
      <c r="K73" s="122">
        <f t="shared" si="33"/>
        <v>0.33435722989439476</v>
      </c>
    </row>
    <row r="74" spans="1:11" ht="15" customHeight="1" outlineLevel="1" x14ac:dyDescent="0.25">
      <c r="B74" s="27" t="s">
        <v>201</v>
      </c>
      <c r="C74" s="122">
        <f t="shared" si="33"/>
        <v>-2.6257338081031665</v>
      </c>
      <c r="D74" s="122">
        <f t="shared" si="33"/>
        <v>-2.4810175185985117</v>
      </c>
      <c r="E74" s="122">
        <f t="shared" si="33"/>
        <v>-2.1335403726708071</v>
      </c>
      <c r="F74" s="122">
        <f t="shared" si="33"/>
        <v>-1.9764597549170071</v>
      </c>
      <c r="G74" s="122">
        <f t="shared" si="33"/>
        <v>-1.9128137384412149</v>
      </c>
      <c r="H74" s="122">
        <f t="shared" si="33"/>
        <v>-1.943401058562404</v>
      </c>
      <c r="I74" s="122">
        <f t="shared" si="33"/>
        <v>-1.6221382591659672</v>
      </c>
      <c r="J74" s="122">
        <f t="shared" si="33"/>
        <v>-1.6967374874034264</v>
      </c>
      <c r="K74" s="122">
        <f t="shared" si="33"/>
        <v>-0.99642576933135718</v>
      </c>
    </row>
    <row r="75" spans="1:11" ht="15" customHeight="1" outlineLevel="1" x14ac:dyDescent="0.25">
      <c r="B75" s="51" t="s">
        <v>241</v>
      </c>
      <c r="C75" s="123">
        <f t="shared" si="33"/>
        <v>0.20548022246646194</v>
      </c>
      <c r="D75" s="123">
        <f t="shared" si="33"/>
        <v>0.16823713986821148</v>
      </c>
      <c r="E75" s="123">
        <f t="shared" si="33"/>
        <v>0.15926533275086824</v>
      </c>
      <c r="F75" s="123">
        <f t="shared" si="33"/>
        <v>0.13154841004333659</v>
      </c>
      <c r="G75" s="123">
        <f t="shared" si="33"/>
        <v>4.0915438426970756E-2</v>
      </c>
      <c r="H75" s="123">
        <f t="shared" si="33"/>
        <v>6.1417726769156883E-2</v>
      </c>
      <c r="I75" s="123">
        <f t="shared" si="33"/>
        <v>4.5003169489590364E-2</v>
      </c>
      <c r="J75" s="123">
        <f t="shared" si="33"/>
        <v>3.9110029268241107E-2</v>
      </c>
      <c r="K75" s="123">
        <f t="shared" si="33"/>
        <v>0.13616029795881437</v>
      </c>
    </row>
    <row r="76" spans="1:11" ht="15" customHeight="1" outlineLevel="1" x14ac:dyDescent="0.25">
      <c r="B76" s="50" t="s">
        <v>197</v>
      </c>
      <c r="C76" s="122">
        <f t="shared" ref="C76:K81" si="35">IFERROR(C61/C49,"n.m.")</f>
        <v>0.19052346741408055</v>
      </c>
      <c r="D76" s="122">
        <f t="shared" si="35"/>
        <v>0.14446191663652519</v>
      </c>
      <c r="E76" s="122">
        <f t="shared" si="35"/>
        <v>0.12979468481353224</v>
      </c>
      <c r="F76" s="122">
        <f t="shared" si="35"/>
        <v>9.401125056388511E-2</v>
      </c>
      <c r="G76" s="122">
        <f t="shared" si="35"/>
        <v>-5.0548881170961422E-2</v>
      </c>
      <c r="H76" s="122">
        <f t="shared" si="35"/>
        <v>-2.9859821631478881E-2</v>
      </c>
      <c r="I76" s="122">
        <f t="shared" si="35"/>
        <v>-7.4743237061281942E-2</v>
      </c>
      <c r="J76" s="122">
        <f>IFERROR(J61/J49,"n.m.")</f>
        <v>-9.3795475685074958E-2</v>
      </c>
      <c r="K76" s="122">
        <f t="shared" ref="K76" si="36">IFERROR(K61/K49,"n.m.")</f>
        <v>5.5685150260645277E-3</v>
      </c>
    </row>
    <row r="77" spans="1:11" ht="15" customHeight="1" outlineLevel="1" x14ac:dyDescent="0.25">
      <c r="B77" s="27" t="s">
        <v>198</v>
      </c>
      <c r="C77" s="122">
        <f t="shared" si="35"/>
        <v>9.0233048116381484E-2</v>
      </c>
      <c r="D77" s="122">
        <f t="shared" si="35"/>
        <v>0.11444621959674342</v>
      </c>
      <c r="E77" s="122">
        <f t="shared" si="35"/>
        <v>0.11126747189304162</v>
      </c>
      <c r="F77" s="122">
        <f t="shared" si="35"/>
        <v>9.4016532404961634E-2</v>
      </c>
      <c r="G77" s="122">
        <f t="shared" si="35"/>
        <v>8.0146103546537076E-2</v>
      </c>
      <c r="H77" s="122">
        <f t="shared" si="35"/>
        <v>7.576558456654918E-2</v>
      </c>
      <c r="I77" s="122">
        <f t="shared" si="35"/>
        <v>9.2068003888310643E-2</v>
      </c>
      <c r="J77" s="122">
        <f t="shared" si="35"/>
        <v>0.11589309860288846</v>
      </c>
      <c r="K77" s="122">
        <f t="shared" si="35"/>
        <v>0.19885781508599062</v>
      </c>
    </row>
    <row r="78" spans="1:11" ht="15" customHeight="1" outlineLevel="1" x14ac:dyDescent="0.25">
      <c r="B78" s="27" t="s">
        <v>199</v>
      </c>
      <c r="C78" s="122">
        <f t="shared" si="35"/>
        <v>-0.52449500812630589</v>
      </c>
      <c r="D78" s="122">
        <f t="shared" si="35"/>
        <v>-3.3877647468503989E-2</v>
      </c>
      <c r="E78" s="122">
        <f t="shared" si="35"/>
        <v>-7.1768405222503259E-2</v>
      </c>
      <c r="F78" s="122">
        <f t="shared" si="35"/>
        <v>-9.44361501913622E-2</v>
      </c>
      <c r="G78" s="122">
        <f t="shared" si="35"/>
        <v>-1.3249042827887099</v>
      </c>
      <c r="H78" s="122">
        <f t="shared" si="35"/>
        <v>-0.31867307626743036</v>
      </c>
      <c r="I78" s="122">
        <f t="shared" si="35"/>
        <v>-0.27890548017888273</v>
      </c>
      <c r="J78" s="122">
        <f t="shared" si="35"/>
        <v>-0.32983862524864277</v>
      </c>
      <c r="K78" s="122">
        <f t="shared" si="35"/>
        <v>-5.7672118676302784</v>
      </c>
    </row>
    <row r="79" spans="1:11" ht="15" customHeight="1" outlineLevel="1" x14ac:dyDescent="0.25">
      <c r="B79" s="27" t="s">
        <v>200</v>
      </c>
      <c r="C79" s="122">
        <f t="shared" si="35"/>
        <v>0.1676513646345289</v>
      </c>
      <c r="D79" s="122">
        <f t="shared" si="35"/>
        <v>0.21263109174446562</v>
      </c>
      <c r="E79" s="122">
        <f t="shared" si="35"/>
        <v>0.19083805695445</v>
      </c>
      <c r="F79" s="122">
        <f t="shared" si="35"/>
        <v>0.21065627409265886</v>
      </c>
      <c r="G79" s="122">
        <f t="shared" si="35"/>
        <v>0.18483727886417883</v>
      </c>
      <c r="H79" s="122">
        <f t="shared" si="35"/>
        <v>0.2559472520885625</v>
      </c>
      <c r="I79" s="122">
        <f t="shared" si="35"/>
        <v>0.28983057004809321</v>
      </c>
      <c r="J79" s="122">
        <f t="shared" si="35"/>
        <v>0.27089485937101537</v>
      </c>
      <c r="K79" s="122">
        <f t="shared" si="35"/>
        <v>0.27100257243433523</v>
      </c>
    </row>
    <row r="80" spans="1:11" ht="15" customHeight="1" outlineLevel="1" x14ac:dyDescent="0.25">
      <c r="B80" s="27" t="s">
        <v>201</v>
      </c>
      <c r="C80" s="122">
        <f t="shared" si="35"/>
        <v>2.9998075257434316</v>
      </c>
      <c r="D80" s="122">
        <f t="shared" si="35"/>
        <v>2.2374370050395966</v>
      </c>
      <c r="E80" s="122">
        <f t="shared" si="35"/>
        <v>1.1479591836734693</v>
      </c>
      <c r="F80" s="122">
        <f t="shared" si="35"/>
        <v>0.96016811087762366</v>
      </c>
      <c r="G80" s="122">
        <f t="shared" si="35"/>
        <v>3.8932628797886388</v>
      </c>
      <c r="H80" s="122">
        <f t="shared" si="35"/>
        <v>3.3553013488133856</v>
      </c>
      <c r="I80" s="122">
        <f t="shared" si="35"/>
        <v>5.0910159529806887</v>
      </c>
      <c r="J80" s="122">
        <f t="shared" si="35"/>
        <v>1.7451503191132012</v>
      </c>
      <c r="K80" s="122">
        <f t="shared" si="35"/>
        <v>7.4670037485833829</v>
      </c>
    </row>
    <row r="81" spans="1:12" ht="15" customHeight="1" outlineLevel="1" x14ac:dyDescent="0.25">
      <c r="A81" s="65" t="s">
        <v>165</v>
      </c>
      <c r="B81" s="51" t="s">
        <v>242</v>
      </c>
      <c r="C81" s="123">
        <f t="shared" si="35"/>
        <v>0.17022533950026575</v>
      </c>
      <c r="D81" s="123">
        <f t="shared" si="35"/>
        <v>0.14199104417916794</v>
      </c>
      <c r="E81" s="123">
        <f t="shared" si="35"/>
        <v>0.12714636824627115</v>
      </c>
      <c r="F81" s="123">
        <f t="shared" si="35"/>
        <v>9.6885893473512993E-2</v>
      </c>
      <c r="G81" s="123">
        <f t="shared" si="35"/>
        <v>1.5340807560706032E-2</v>
      </c>
      <c r="H81" s="123">
        <f t="shared" si="35"/>
        <v>2.4896718457516766E-2</v>
      </c>
      <c r="I81" s="123">
        <f t="shared" si="35"/>
        <v>1.5281382365600029E-2</v>
      </c>
      <c r="J81" s="123">
        <f t="shared" si="35"/>
        <v>-5.7458883070175566E-3</v>
      </c>
      <c r="K81" s="123">
        <f t="shared" si="35"/>
        <v>0.10799846250888057</v>
      </c>
    </row>
    <row r="82" spans="1:12" ht="15" customHeight="1" x14ac:dyDescent="0.25">
      <c r="B82" s="60"/>
      <c r="C82" s="86"/>
      <c r="D82" s="86"/>
      <c r="E82" s="86"/>
      <c r="F82" s="86"/>
    </row>
    <row r="83" spans="1:12" ht="15" customHeight="1" x14ac:dyDescent="0.25">
      <c r="B83" s="60"/>
      <c r="C83" s="86"/>
      <c r="D83" s="86"/>
      <c r="E83" s="86"/>
      <c r="F83" s="86"/>
    </row>
    <row r="84" spans="1:12" ht="20.100000000000001" customHeight="1" outlineLevel="1" x14ac:dyDescent="0.25">
      <c r="B84" s="36" t="s">
        <v>153</v>
      </c>
      <c r="C84" s="37"/>
      <c r="D84" s="37"/>
      <c r="E84" s="37"/>
      <c r="F84" s="37"/>
      <c r="G84" s="37"/>
      <c r="H84" s="37"/>
      <c r="I84" s="37"/>
      <c r="J84" s="37"/>
      <c r="K84" s="37"/>
    </row>
    <row r="85" spans="1:12" outlineLevel="1" x14ac:dyDescent="0.25">
      <c r="B85" s="38" t="s">
        <v>65</v>
      </c>
      <c r="C85" s="39" t="s">
        <v>187</v>
      </c>
      <c r="D85" s="39" t="s">
        <v>189</v>
      </c>
      <c r="E85" s="39" t="s">
        <v>192</v>
      </c>
      <c r="F85" s="39" t="s">
        <v>194</v>
      </c>
      <c r="G85" s="39" t="s">
        <v>196</v>
      </c>
      <c r="H85" s="39" t="s">
        <v>220</v>
      </c>
      <c r="I85" s="39" t="s">
        <v>229</v>
      </c>
      <c r="J85" s="39" t="s">
        <v>233</v>
      </c>
      <c r="K85" s="39" t="s">
        <v>244</v>
      </c>
    </row>
    <row r="86" spans="1:12" ht="15" customHeight="1" outlineLevel="1" x14ac:dyDescent="0.25">
      <c r="B86" s="50" t="s">
        <v>197</v>
      </c>
      <c r="C86" s="45">
        <f>C49</f>
        <v>619.97930224318998</v>
      </c>
      <c r="D86" s="45">
        <f>D49-C49</f>
        <v>441.69765560153451</v>
      </c>
      <c r="E86" s="45">
        <f>E49-D49</f>
        <v>397.45950422350347</v>
      </c>
      <c r="F86" s="45">
        <f>F49-E49</f>
        <v>399.11117511614611</v>
      </c>
      <c r="G86" s="45">
        <f>G49</f>
        <v>293.36041758999409</v>
      </c>
      <c r="H86" s="45">
        <f>H49-G49</f>
        <v>264.06338244399285</v>
      </c>
      <c r="I86" s="45">
        <f>I49-H49</f>
        <v>195.62540910485529</v>
      </c>
      <c r="J86" s="45">
        <f>J49-I49</f>
        <v>261.81599918854283</v>
      </c>
      <c r="K86" s="45">
        <f>K49</f>
        <v>284.18244709712422</v>
      </c>
      <c r="L86" s="104"/>
    </row>
    <row r="87" spans="1:12" ht="15" customHeight="1" outlineLevel="1" x14ac:dyDescent="0.25">
      <c r="B87" s="27" t="s">
        <v>198</v>
      </c>
      <c r="C87" s="13">
        <f t="shared" ref="C87:C90" si="37">C50</f>
        <v>218.42454642078002</v>
      </c>
      <c r="D87" s="13">
        <f t="shared" ref="D87:F90" si="38">D50-C50</f>
        <v>148.35108217149349</v>
      </c>
      <c r="E87" s="13">
        <f t="shared" si="38"/>
        <v>100.54660506884233</v>
      </c>
      <c r="F87" s="13">
        <f t="shared" si="38"/>
        <v>139.15029419895035</v>
      </c>
      <c r="G87" s="13">
        <f t="shared" ref="G87:G90" si="39">G50</f>
        <v>182.9503783588585</v>
      </c>
      <c r="H87" s="13">
        <f t="shared" ref="H87:J90" si="40">H50-G50</f>
        <v>91.485826859661273</v>
      </c>
      <c r="I87" s="13">
        <f t="shared" si="40"/>
        <v>141.39263514965637</v>
      </c>
      <c r="J87" s="13">
        <f t="shared" si="40"/>
        <v>139.30252439750979</v>
      </c>
      <c r="K87" s="13">
        <f t="shared" ref="K87:K90" si="41">K50</f>
        <v>211.70550732501357</v>
      </c>
      <c r="L87" s="104"/>
    </row>
    <row r="88" spans="1:12" ht="15" customHeight="1" outlineLevel="1" x14ac:dyDescent="0.25">
      <c r="B88" s="27" t="s">
        <v>199</v>
      </c>
      <c r="C88" s="15">
        <f t="shared" si="37"/>
        <v>0.80311025750993026</v>
      </c>
      <c r="D88" s="15">
        <f t="shared" si="38"/>
        <v>13.504948891554964</v>
      </c>
      <c r="E88" s="15">
        <f t="shared" si="38"/>
        <v>11.658428834179039</v>
      </c>
      <c r="F88" s="15">
        <f t="shared" si="38"/>
        <v>10.292328492986922</v>
      </c>
      <c r="G88" s="15">
        <f t="shared" si="39"/>
        <v>1.843535070008703</v>
      </c>
      <c r="H88" s="15">
        <f t="shared" si="40"/>
        <v>7.2188925149196939</v>
      </c>
      <c r="I88" s="15">
        <f t="shared" si="40"/>
        <v>10.586972194643316</v>
      </c>
      <c r="J88" s="15">
        <f t="shared" si="40"/>
        <v>8.9922599856851981</v>
      </c>
      <c r="K88" s="15">
        <f t="shared" si="41"/>
        <v>0.7132392837764514</v>
      </c>
      <c r="L88" s="104"/>
    </row>
    <row r="89" spans="1:12" ht="15" customHeight="1" outlineLevel="1" x14ac:dyDescent="0.25">
      <c r="B89" s="27" t="s">
        <v>200</v>
      </c>
      <c r="C89" s="15">
        <f t="shared" si="37"/>
        <v>14.265416099498422</v>
      </c>
      <c r="D89" s="15">
        <f t="shared" si="38"/>
        <v>17.260466065029931</v>
      </c>
      <c r="E89" s="15">
        <f t="shared" si="38"/>
        <v>15.633406415115832</v>
      </c>
      <c r="F89" s="15">
        <f t="shared" si="38"/>
        <v>19.39611415699018</v>
      </c>
      <c r="G89" s="15">
        <f t="shared" si="39"/>
        <v>16.024195269283197</v>
      </c>
      <c r="H89" s="15">
        <f t="shared" si="40"/>
        <v>16.96525337201696</v>
      </c>
      <c r="I89" s="15">
        <f t="shared" si="40"/>
        <v>20.307593448599015</v>
      </c>
      <c r="J89" s="15">
        <f t="shared" si="40"/>
        <v>16.132663481680432</v>
      </c>
      <c r="K89" s="15">
        <f t="shared" si="41"/>
        <v>16.030385241454152</v>
      </c>
      <c r="L89" s="104"/>
    </row>
    <row r="90" spans="1:12" ht="15" customHeight="1" outlineLevel="1" x14ac:dyDescent="0.25">
      <c r="B90" s="27" t="s">
        <v>201</v>
      </c>
      <c r="C90" s="15">
        <f t="shared" si="37"/>
        <v>1.937571090268327</v>
      </c>
      <c r="D90" s="15">
        <f t="shared" si="38"/>
        <v>1.7699221922912398</v>
      </c>
      <c r="E90" s="15">
        <f t="shared" si="38"/>
        <v>1.8936995180368217</v>
      </c>
      <c r="F90" s="15">
        <f t="shared" si="38"/>
        <v>1.8668915554482037</v>
      </c>
      <c r="G90" s="15">
        <f t="shared" si="39"/>
        <v>1.8638892992564173</v>
      </c>
      <c r="H90" s="15">
        <f t="shared" si="40"/>
        <v>1.7553966688268821</v>
      </c>
      <c r="I90" s="15">
        <f t="shared" si="40"/>
        <v>1.7022713283928406</v>
      </c>
      <c r="J90" s="15">
        <f t="shared" si="40"/>
        <v>1.4797106590883082</v>
      </c>
      <c r="K90" s="15">
        <f t="shared" si="41"/>
        <v>1.5560227889310907</v>
      </c>
      <c r="L90" s="104"/>
    </row>
    <row r="91" spans="1:12" ht="15" customHeight="1" outlineLevel="1" x14ac:dyDescent="0.25">
      <c r="B91" s="51" t="s">
        <v>77</v>
      </c>
      <c r="C91" s="52">
        <f>+C54</f>
        <v>855.40994611124665</v>
      </c>
      <c r="D91" s="52">
        <f>+D54-C54</f>
        <v>622.5840749219044</v>
      </c>
      <c r="E91" s="52">
        <f>+E54-D54</f>
        <v>527.1916440596774</v>
      </c>
      <c r="F91" s="52">
        <f>+F54-E54</f>
        <v>569.81680352052172</v>
      </c>
      <c r="G91" s="52">
        <f>+G54</f>
        <v>496.04241558740097</v>
      </c>
      <c r="H91" s="52">
        <f>+H54-G54</f>
        <v>381.48875185941762</v>
      </c>
      <c r="I91" s="52">
        <f>+I54-H54</f>
        <v>369.61488122614685</v>
      </c>
      <c r="J91" s="52">
        <f>+J54-I54</f>
        <v>427.72315771250669</v>
      </c>
      <c r="K91" s="52">
        <f>+K54</f>
        <v>514.18760173629937</v>
      </c>
    </row>
    <row r="92" spans="1:12" ht="15" customHeight="1" outlineLevel="1" x14ac:dyDescent="0.25">
      <c r="B92" s="50" t="s">
        <v>197</v>
      </c>
      <c r="C92" s="45">
        <f>C55</f>
        <v>150.77197038915529</v>
      </c>
      <c r="D92" s="45">
        <f>D55-C55</f>
        <v>41.98422656085981</v>
      </c>
      <c r="E92" s="45">
        <f>E55-D55</f>
        <v>57.103045479605555</v>
      </c>
      <c r="F92" s="45">
        <f>F55-E55</f>
        <v>6.066134915562543</v>
      </c>
      <c r="G92" s="45">
        <f>G55</f>
        <v>-7.58851627517606</v>
      </c>
      <c r="H92" s="45">
        <f>H55-G55</f>
        <v>14.498188611460067</v>
      </c>
      <c r="I92" s="45">
        <f>I55-H55</f>
        <v>-31.534199457906908</v>
      </c>
      <c r="J92" s="45">
        <f>J55-I55</f>
        <v>-24.48362034960542</v>
      </c>
      <c r="K92" s="45">
        <f>K55</f>
        <v>14.759495387954424</v>
      </c>
      <c r="L92" s="83"/>
    </row>
    <row r="93" spans="1:12" ht="15" customHeight="1" outlineLevel="1" x14ac:dyDescent="0.25">
      <c r="B93" s="27" t="s">
        <v>198</v>
      </c>
      <c r="C93" s="13">
        <f t="shared" ref="C93:C96" si="42">C56</f>
        <v>28.04173115292102</v>
      </c>
      <c r="D93" s="13">
        <f t="shared" ref="D93:F96" si="43">D56-C56</f>
        <v>27.988306037676335</v>
      </c>
      <c r="E93" s="13">
        <f t="shared" si="43"/>
        <v>14.122790385816273</v>
      </c>
      <c r="F93" s="13">
        <f t="shared" si="43"/>
        <v>10.530978320045847</v>
      </c>
      <c r="G93" s="13">
        <f t="shared" ref="G93:G96" si="44">G56</f>
        <v>28.640042021634628</v>
      </c>
      <c r="H93" s="13">
        <f t="shared" ref="H93:J96" si="45">H56-G56</f>
        <v>14.753695136759347</v>
      </c>
      <c r="I93" s="13">
        <f t="shared" si="45"/>
        <v>27.784065111422436</v>
      </c>
      <c r="J93" s="13">
        <f t="shared" si="45"/>
        <v>33.880883511375714</v>
      </c>
      <c r="K93" s="13">
        <f t="shared" ref="K93:K96" si="46">K56</f>
        <v>52.989283776451437</v>
      </c>
      <c r="L93" s="83"/>
    </row>
    <row r="94" spans="1:12" ht="15" customHeight="1" outlineLevel="1" x14ac:dyDescent="0.25">
      <c r="B94" s="27" t="s">
        <v>199</v>
      </c>
      <c r="C94" s="15">
        <f t="shared" si="42"/>
        <v>-0.5215461783736417</v>
      </c>
      <c r="D94" s="15">
        <f t="shared" si="43"/>
        <v>1.5030932360457592</v>
      </c>
      <c r="E94" s="15">
        <f t="shared" si="43"/>
        <v>-1.156384645090911</v>
      </c>
      <c r="F94" s="15">
        <f t="shared" si="43"/>
        <v>-1.2239845313567774</v>
      </c>
      <c r="G94" s="15">
        <f t="shared" si="44"/>
        <v>-1.3011933487631544</v>
      </c>
      <c r="H94" s="15">
        <f t="shared" si="45"/>
        <v>0.36269402077501867</v>
      </c>
      <c r="I94" s="15">
        <f t="shared" si="45"/>
        <v>-0.77816088469543532</v>
      </c>
      <c r="J94" s="15">
        <f t="shared" si="45"/>
        <v>-2.2958194400565315</v>
      </c>
      <c r="K94" s="15">
        <f t="shared" si="46"/>
        <v>-1.5462561041779705</v>
      </c>
      <c r="L94" s="83"/>
    </row>
    <row r="95" spans="1:12" ht="15" customHeight="1" outlineLevel="1" x14ac:dyDescent="0.25">
      <c r="B95" s="27" t="s">
        <v>200</v>
      </c>
      <c r="C95" s="15">
        <f t="shared" si="42"/>
        <v>2.5652165805814042</v>
      </c>
      <c r="D95" s="15">
        <f t="shared" si="43"/>
        <v>5.5188448461851483</v>
      </c>
      <c r="E95" s="15">
        <f t="shared" si="43"/>
        <v>3.385639308083789</v>
      </c>
      <c r="F95" s="15">
        <f t="shared" si="43"/>
        <v>6.8177869220829734</v>
      </c>
      <c r="G95" s="15">
        <f t="shared" si="44"/>
        <v>4.110733572987975</v>
      </c>
      <c r="H95" s="15">
        <f t="shared" si="45"/>
        <v>7.4540499156032745</v>
      </c>
      <c r="I95" s="15">
        <f t="shared" si="45"/>
        <v>8.3564282715589364</v>
      </c>
      <c r="J95" s="15">
        <f t="shared" si="45"/>
        <v>5.1848795669195553</v>
      </c>
      <c r="K95" s="15">
        <f t="shared" si="46"/>
        <v>5.3598752034725985</v>
      </c>
      <c r="L95" s="83"/>
    </row>
    <row r="96" spans="1:12" ht="15" customHeight="1" outlineLevel="1" x14ac:dyDescent="0.25">
      <c r="B96" s="27" t="s">
        <v>201</v>
      </c>
      <c r="C96" s="15">
        <f t="shared" si="42"/>
        <v>-5.0875459173208579</v>
      </c>
      <c r="D96" s="15">
        <f t="shared" si="43"/>
        <v>-4.11080986679573</v>
      </c>
      <c r="E96" s="15">
        <f t="shared" si="43"/>
        <v>-2.7520151910688728</v>
      </c>
      <c r="F96" s="15">
        <f t="shared" si="43"/>
        <v>-2.809997200861968</v>
      </c>
      <c r="G96" s="15">
        <f t="shared" si="44"/>
        <v>-3.5652730585512442</v>
      </c>
      <c r="H96" s="15">
        <f t="shared" si="45"/>
        <v>-3.4684511230618948</v>
      </c>
      <c r="I96" s="15">
        <f t="shared" si="45"/>
        <v>-1.5985775073446176</v>
      </c>
      <c r="J96" s="15">
        <f t="shared" si="45"/>
        <v>-2.9076646131241048</v>
      </c>
      <c r="K96" s="15">
        <f t="shared" si="46"/>
        <v>-1.5504612045577861</v>
      </c>
      <c r="L96" s="83"/>
    </row>
    <row r="97" spans="1:12" ht="15" customHeight="1" outlineLevel="1" x14ac:dyDescent="0.25">
      <c r="B97" s="51" t="s">
        <v>78</v>
      </c>
      <c r="C97" s="52">
        <f>+C60</f>
        <v>175.76982602696319</v>
      </c>
      <c r="D97" s="52">
        <f>+D60-C60</f>
        <v>72.883660813971346</v>
      </c>
      <c r="E97" s="52">
        <f>+E60-D60</f>
        <v>70.703075337345808</v>
      </c>
      <c r="F97" s="52">
        <f>+F60-E60</f>
        <v>19.380918425472601</v>
      </c>
      <c r="G97" s="52">
        <f>+G60</f>
        <v>20.295792912132143</v>
      </c>
      <c r="H97" s="52">
        <f>+H60-G60</f>
        <v>33.600176561535818</v>
      </c>
      <c r="I97" s="52">
        <f>+I60-H60</f>
        <v>2.2295555330344143</v>
      </c>
      <c r="J97" s="52">
        <f>+J60-I60</f>
        <v>9.3786586755092003</v>
      </c>
      <c r="K97" s="52">
        <f>+K60</f>
        <v>70.011937059142696</v>
      </c>
      <c r="L97" s="115"/>
    </row>
    <row r="98" spans="1:12" ht="15" customHeight="1" outlineLevel="1" x14ac:dyDescent="0.25">
      <c r="B98" s="50" t="s">
        <v>197</v>
      </c>
      <c r="C98" s="45">
        <f>C61</f>
        <v>118.12060638833481</v>
      </c>
      <c r="D98" s="45">
        <f>D61-C61</f>
        <v>35.251281790749459</v>
      </c>
      <c r="E98" s="45">
        <f>E61-D61</f>
        <v>36.016269014993895</v>
      </c>
      <c r="F98" s="45">
        <f>F61-E61</f>
        <v>-14.691972964990498</v>
      </c>
      <c r="G98" s="45">
        <f>G61</f>
        <v>-14.829040889020233</v>
      </c>
      <c r="H98" s="45">
        <f>H61-G61</f>
        <v>-1.8155343531357691</v>
      </c>
      <c r="I98" s="45">
        <f>I61-H61</f>
        <v>-39.640760315319362</v>
      </c>
      <c r="J98" s="45">
        <f>J61-I61</f>
        <v>-38.904429413824417</v>
      </c>
      <c r="K98" s="45">
        <f>K61</f>
        <v>1.5824742268041239</v>
      </c>
      <c r="L98" s="116"/>
    </row>
    <row r="99" spans="1:12" ht="15" customHeight="1" outlineLevel="1" x14ac:dyDescent="0.25">
      <c r="B99" s="27" t="s">
        <v>198</v>
      </c>
      <c r="C99" s="13">
        <f t="shared" ref="C99:C102" si="47">C62</f>
        <v>19.709112606985045</v>
      </c>
      <c r="D99" s="13">
        <f t="shared" ref="D99:F102" si="48">D62-C62</f>
        <v>22.266971525619894</v>
      </c>
      <c r="E99" s="13">
        <f t="shared" si="48"/>
        <v>10.021679366276693</v>
      </c>
      <c r="F99" s="13">
        <f t="shared" si="48"/>
        <v>5.0206805693932779</v>
      </c>
      <c r="G99" s="13">
        <f t="shared" ref="G99:G102" si="49">G62</f>
        <v>14.66275996782721</v>
      </c>
      <c r="H99" s="13">
        <f t="shared" ref="H99:J102" si="50">H62-G62</f>
        <v>6.1300595467793961</v>
      </c>
      <c r="I99" s="13">
        <f t="shared" si="50"/>
        <v>17.49171177728234</v>
      </c>
      <c r="J99" s="13">
        <f t="shared" si="50"/>
        <v>26.051362702456736</v>
      </c>
      <c r="K99" s="13">
        <f t="shared" ref="K99:K102" si="51">K62</f>
        <v>42.099294628323385</v>
      </c>
      <c r="L99" s="116"/>
    </row>
    <row r="100" spans="1:12" ht="15" customHeight="1" outlineLevel="1" x14ac:dyDescent="0.25">
      <c r="B100" s="27" t="s">
        <v>199</v>
      </c>
      <c r="C100" s="15">
        <f t="shared" si="47"/>
        <v>-0.42122732103899052</v>
      </c>
      <c r="D100" s="15">
        <f t="shared" si="48"/>
        <v>-6.3496062771533135E-2</v>
      </c>
      <c r="E100" s="15">
        <f t="shared" si="48"/>
        <v>-1.3788500479761883</v>
      </c>
      <c r="F100" s="15">
        <f t="shared" si="48"/>
        <v>-1.5605696067236634</v>
      </c>
      <c r="G100" s="15">
        <f t="shared" si="49"/>
        <v>-2.4425075097257145</v>
      </c>
      <c r="H100" s="15">
        <f t="shared" si="50"/>
        <v>-0.4454441672142373</v>
      </c>
      <c r="I100" s="15">
        <f t="shared" si="50"/>
        <v>-2.5923736038083294</v>
      </c>
      <c r="J100" s="15">
        <f t="shared" si="50"/>
        <v>-3.9668004010634226</v>
      </c>
      <c r="K100" s="15">
        <f t="shared" si="51"/>
        <v>-4.1134020618556706</v>
      </c>
      <c r="L100" s="116"/>
    </row>
    <row r="101" spans="1:12" ht="15" customHeight="1" outlineLevel="1" x14ac:dyDescent="0.25">
      <c r="B101" s="27" t="s">
        <v>200</v>
      </c>
      <c r="C101" s="15">
        <f t="shared" si="47"/>
        <v>2.3916164761602889</v>
      </c>
      <c r="D101" s="15">
        <f t="shared" si="48"/>
        <v>4.3117662666907517</v>
      </c>
      <c r="E101" s="15">
        <f t="shared" si="48"/>
        <v>2.2964042570424397</v>
      </c>
      <c r="F101" s="15">
        <f t="shared" si="48"/>
        <v>5.020526161342266</v>
      </c>
      <c r="G101" s="15">
        <f t="shared" si="49"/>
        <v>2.9618686495625535</v>
      </c>
      <c r="H101" s="15">
        <f t="shared" si="50"/>
        <v>5.4816900780949833</v>
      </c>
      <c r="I101" s="15">
        <f t="shared" si="50"/>
        <v>7.0035533631351576</v>
      </c>
      <c r="J101" s="15">
        <f t="shared" si="50"/>
        <v>3.361038236191364</v>
      </c>
      <c r="K101" s="15">
        <f t="shared" si="51"/>
        <v>4.3442756375474776</v>
      </c>
      <c r="L101" s="116"/>
    </row>
    <row r="102" spans="1:12" ht="15" customHeight="1" outlineLevel="1" x14ac:dyDescent="0.25">
      <c r="B102" s="27" t="s">
        <v>201</v>
      </c>
      <c r="C102" s="15">
        <f t="shared" si="47"/>
        <v>5.8123403382498333</v>
      </c>
      <c r="D102" s="15">
        <f t="shared" si="48"/>
        <v>2.4829423280846674</v>
      </c>
      <c r="E102" s="15">
        <f t="shared" si="48"/>
        <v>-1.8653419513641571</v>
      </c>
      <c r="F102" s="15">
        <f t="shared" si="48"/>
        <v>0.74067573304772694</v>
      </c>
      <c r="G102" s="15">
        <f t="shared" si="49"/>
        <v>7.2566110208302677</v>
      </c>
      <c r="H102" s="15">
        <f t="shared" si="50"/>
        <v>4.8871840696209867</v>
      </c>
      <c r="I102" s="15">
        <f t="shared" si="50"/>
        <v>14.948338000609558</v>
      </c>
      <c r="J102" s="15">
        <f t="shared" si="50"/>
        <v>-15.222898148033126</v>
      </c>
      <c r="K102" s="15">
        <f t="shared" si="51"/>
        <v>11.618827997829625</v>
      </c>
      <c r="L102" s="116"/>
    </row>
    <row r="103" spans="1:12" ht="15" customHeight="1" outlineLevel="1" x14ac:dyDescent="0.25">
      <c r="A103" s="65" t="s">
        <v>165</v>
      </c>
      <c r="B103" s="51" t="s">
        <v>79</v>
      </c>
      <c r="C103" s="52">
        <f>+C66</f>
        <v>145.612448488691</v>
      </c>
      <c r="D103" s="52">
        <f>+D66-C66</f>
        <v>64.249465848373205</v>
      </c>
      <c r="E103" s="52">
        <f>+E66-D66</f>
        <v>45.090160638972691</v>
      </c>
      <c r="F103" s="52">
        <f>+F66-E66</f>
        <v>-5.4706601079308825</v>
      </c>
      <c r="G103" s="52">
        <f>+G66</f>
        <v>7.6096912394740839</v>
      </c>
      <c r="H103" s="52">
        <f>+H66-G66</f>
        <v>14.237955174145359</v>
      </c>
      <c r="I103" s="52">
        <f>+I66-H66</f>
        <v>-2.7895307781006338</v>
      </c>
      <c r="J103" s="52">
        <f>+J66-I66</f>
        <v>-28.681727024272867</v>
      </c>
      <c r="K103" s="52">
        <f>+K66</f>
        <v>55.531470428648937</v>
      </c>
      <c r="L103" s="115"/>
    </row>
    <row r="104" spans="1:12" x14ac:dyDescent="0.25">
      <c r="F104" s="83"/>
    </row>
    <row r="105" spans="1:12" x14ac:dyDescent="0.25">
      <c r="F105" s="83"/>
    </row>
    <row r="106" spans="1:12" ht="20.100000000000001" customHeight="1" outlineLevel="1" x14ac:dyDescent="0.25">
      <c r="B106" s="36" t="s">
        <v>240</v>
      </c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2" ht="15" customHeight="1" outlineLevel="1" x14ac:dyDescent="0.25">
      <c r="B107" s="50" t="s">
        <v>197</v>
      </c>
      <c r="C107" s="122">
        <f t="shared" ref="C107:I107" si="52">IFERROR(C92/C86,"n.m.")</f>
        <v>0.24318871588718655</v>
      </c>
      <c r="D107" s="122">
        <f t="shared" si="52"/>
        <v>9.5051956985560127E-2</v>
      </c>
      <c r="E107" s="122">
        <f t="shared" si="52"/>
        <v>0.14367009688487609</v>
      </c>
      <c r="F107" s="122">
        <f t="shared" si="52"/>
        <v>1.5199110658320266E-2</v>
      </c>
      <c r="G107" s="122">
        <f t="shared" si="52"/>
        <v>-2.586755342631776E-2</v>
      </c>
      <c r="H107" s="122">
        <f t="shared" si="52"/>
        <v>5.4904199428465229E-2</v>
      </c>
      <c r="I107" s="122">
        <f t="shared" si="52"/>
        <v>-0.16119684862105293</v>
      </c>
      <c r="J107" s="122">
        <f>IFERROR(J92/J86,"n.m.")</f>
        <v>-9.351460730241283E-2</v>
      </c>
      <c r="K107" s="122">
        <f t="shared" ref="K107" si="53">IFERROR(K92/K86,"n.m.")</f>
        <v>5.1936689048603039E-2</v>
      </c>
    </row>
    <row r="108" spans="1:12" ht="15" customHeight="1" outlineLevel="1" x14ac:dyDescent="0.25">
      <c r="B108" s="27" t="s">
        <v>198</v>
      </c>
      <c r="C108" s="122">
        <f t="shared" ref="C108:K108" si="54">IFERROR(C93/C87,"n.m.")</f>
        <v>0.12838177582340279</v>
      </c>
      <c r="D108" s="122">
        <f t="shared" si="54"/>
        <v>0.18866263479845682</v>
      </c>
      <c r="E108" s="122">
        <f t="shared" si="54"/>
        <v>0.1404601416044497</v>
      </c>
      <c r="F108" s="122">
        <f t="shared" si="54"/>
        <v>7.5680604059587292E-2</v>
      </c>
      <c r="G108" s="122">
        <f t="shared" si="54"/>
        <v>0.15654541017377388</v>
      </c>
      <c r="H108" s="122">
        <f t="shared" si="54"/>
        <v>0.16126754977458344</v>
      </c>
      <c r="I108" s="122">
        <f t="shared" si="54"/>
        <v>0.19650291602539638</v>
      </c>
      <c r="J108" s="122">
        <f t="shared" si="54"/>
        <v>0.24321801530813736</v>
      </c>
      <c r="K108" s="122">
        <f t="shared" si="54"/>
        <v>0.25029714364067757</v>
      </c>
    </row>
    <row r="109" spans="1:12" ht="15" customHeight="1" outlineLevel="1" x14ac:dyDescent="0.25">
      <c r="B109" s="27" t="s">
        <v>199</v>
      </c>
      <c r="C109" s="122">
        <f t="shared" ref="C109:K109" si="55">IFERROR(C94/C88,"n.m.")</f>
        <v>-0.64940794056187601</v>
      </c>
      <c r="D109" s="122">
        <f t="shared" si="55"/>
        <v>0.11129943905124194</v>
      </c>
      <c r="E109" s="122">
        <f t="shared" si="55"/>
        <v>-9.9188721013652864E-2</v>
      </c>
      <c r="F109" s="122">
        <f t="shared" si="55"/>
        <v>-0.11892202354314545</v>
      </c>
      <c r="G109" s="122">
        <f t="shared" si="55"/>
        <v>-0.70581426409046377</v>
      </c>
      <c r="H109" s="122">
        <f t="shared" si="55"/>
        <v>5.0242335652652868E-2</v>
      </c>
      <c r="I109" s="122">
        <f t="shared" si="55"/>
        <v>-7.3501740666624293E-2</v>
      </c>
      <c r="J109" s="122">
        <f t="shared" si="55"/>
        <v>-0.25531061643138125</v>
      </c>
      <c r="K109" s="122">
        <f t="shared" si="55"/>
        <v>-2.1679345758843667</v>
      </c>
    </row>
    <row r="110" spans="1:12" ht="15" customHeight="1" outlineLevel="1" x14ac:dyDescent="0.25">
      <c r="B110" s="27" t="s">
        <v>200</v>
      </c>
      <c r="C110" s="122">
        <f t="shared" ref="C110:K110" si="56">IFERROR(C95/C89,"n.m.")</f>
        <v>0.17982066297187072</v>
      </c>
      <c r="D110" s="122">
        <f t="shared" si="56"/>
        <v>0.31973903980301233</v>
      </c>
      <c r="E110" s="122">
        <f t="shared" si="56"/>
        <v>0.21656440178067896</v>
      </c>
      <c r="F110" s="122">
        <f t="shared" si="56"/>
        <v>0.35150272198340854</v>
      </c>
      <c r="G110" s="122">
        <f t="shared" si="56"/>
        <v>0.25653291812212536</v>
      </c>
      <c r="H110" s="122">
        <f t="shared" si="56"/>
        <v>0.43937156446470915</v>
      </c>
      <c r="I110" s="122">
        <f t="shared" si="56"/>
        <v>0.41149278927166194</v>
      </c>
      <c r="J110" s="122">
        <f t="shared" si="56"/>
        <v>0.32139017669384135</v>
      </c>
      <c r="K110" s="122">
        <f t="shared" si="56"/>
        <v>0.33435722989439476</v>
      </c>
    </row>
    <row r="111" spans="1:12" ht="15" customHeight="1" outlineLevel="1" x14ac:dyDescent="0.25">
      <c r="B111" s="27" t="s">
        <v>201</v>
      </c>
      <c r="C111" s="122">
        <f t="shared" ref="C111:K111" si="57">IFERROR(C96/C90,"n.m.")</f>
        <v>-2.6257338081031665</v>
      </c>
      <c r="D111" s="122">
        <f t="shared" si="57"/>
        <v>-2.3225935494227072</v>
      </c>
      <c r="E111" s="122">
        <f t="shared" si="57"/>
        <v>-1.453248081259406</v>
      </c>
      <c r="F111" s="122">
        <f t="shared" si="57"/>
        <v>-1.5051743057391158</v>
      </c>
      <c r="G111" s="122">
        <f t="shared" si="57"/>
        <v>-1.9128137384412149</v>
      </c>
      <c r="H111" s="122">
        <f t="shared" si="57"/>
        <v>-1.9758788339161164</v>
      </c>
      <c r="I111" s="122">
        <f t="shared" si="57"/>
        <v>-0.93908502168915509</v>
      </c>
      <c r="J111" s="122">
        <f t="shared" si="57"/>
        <v>-1.9650224152035234</v>
      </c>
      <c r="K111" s="122">
        <f t="shared" si="57"/>
        <v>-0.99642576933135718</v>
      </c>
    </row>
    <row r="112" spans="1:12" ht="15" customHeight="1" outlineLevel="1" x14ac:dyDescent="0.25">
      <c r="B112" s="51" t="s">
        <v>241</v>
      </c>
      <c r="C112" s="123">
        <f t="shared" ref="C112:K112" si="58">IFERROR(C97/C91,"n.m.")</f>
        <v>0.20548022246646194</v>
      </c>
      <c r="D112" s="123">
        <f t="shared" si="58"/>
        <v>0.11706637504840404</v>
      </c>
      <c r="E112" s="123">
        <f t="shared" si="58"/>
        <v>0.13411266307806335</v>
      </c>
      <c r="F112" s="123">
        <f t="shared" si="58"/>
        <v>3.4012542813287895E-2</v>
      </c>
      <c r="G112" s="123">
        <f t="shared" si="58"/>
        <v>4.0915438426970756E-2</v>
      </c>
      <c r="H112" s="123">
        <f t="shared" si="58"/>
        <v>8.8076454149080163E-2</v>
      </c>
      <c r="I112" s="123">
        <f t="shared" si="58"/>
        <v>6.0321043504476023E-3</v>
      </c>
      <c r="J112" s="123">
        <f t="shared" si="58"/>
        <v>2.1926936866516467E-2</v>
      </c>
      <c r="K112" s="123">
        <f t="shared" si="58"/>
        <v>0.13616029795881437</v>
      </c>
    </row>
    <row r="113" spans="1:11" ht="15" customHeight="1" outlineLevel="1" x14ac:dyDescent="0.25">
      <c r="B113" s="50" t="s">
        <v>197</v>
      </c>
      <c r="C113" s="122">
        <f t="shared" ref="C113:I113" si="59">IFERROR(C98/C86,"n.m.")</f>
        <v>0.19052346741408055</v>
      </c>
      <c r="D113" s="122">
        <f t="shared" si="59"/>
        <v>7.9808623260048367E-2</v>
      </c>
      <c r="E113" s="122">
        <f t="shared" si="59"/>
        <v>9.0616197706372775E-2</v>
      </c>
      <c r="F113" s="122">
        <f t="shared" si="59"/>
        <v>-3.6811730367396898E-2</v>
      </c>
      <c r="G113" s="122">
        <f t="shared" si="59"/>
        <v>-5.0548881170961422E-2</v>
      </c>
      <c r="H113" s="122">
        <f t="shared" si="59"/>
        <v>-6.8753733907837037E-3</v>
      </c>
      <c r="I113" s="122">
        <f t="shared" si="59"/>
        <v>-0.20263605068844559</v>
      </c>
      <c r="J113" s="122">
        <f>IFERROR(J98/J86,"n.m.")</f>
        <v>-0.14859454553733356</v>
      </c>
      <c r="K113" s="122">
        <f t="shared" ref="K113" si="60">IFERROR(K98/K86,"n.m.")</f>
        <v>5.5685150260645277E-3</v>
      </c>
    </row>
    <row r="114" spans="1:11" ht="15" customHeight="1" outlineLevel="1" x14ac:dyDescent="0.25">
      <c r="B114" s="27" t="s">
        <v>198</v>
      </c>
      <c r="C114" s="122">
        <f t="shared" ref="C114:K114" si="61">IFERROR(C99/C87,"n.m.")</f>
        <v>9.0233048116381484E-2</v>
      </c>
      <c r="D114" s="122">
        <f t="shared" si="61"/>
        <v>0.15009645497482338</v>
      </c>
      <c r="E114" s="122">
        <f t="shared" si="61"/>
        <v>9.967198155934795E-2</v>
      </c>
      <c r="F114" s="122">
        <f t="shared" si="61"/>
        <v>3.6080991407858268E-2</v>
      </c>
      <c r="G114" s="122">
        <f t="shared" si="61"/>
        <v>8.0146103546537076E-2</v>
      </c>
      <c r="H114" s="122">
        <f t="shared" si="61"/>
        <v>6.7005565312131588E-2</v>
      </c>
      <c r="I114" s="122">
        <f t="shared" si="61"/>
        <v>0.12371020427456013</v>
      </c>
      <c r="J114" s="122">
        <f t="shared" si="61"/>
        <v>0.18701285432643916</v>
      </c>
      <c r="K114" s="122">
        <f t="shared" si="61"/>
        <v>0.19885781508599062</v>
      </c>
    </row>
    <row r="115" spans="1:11" ht="15" customHeight="1" outlineLevel="1" x14ac:dyDescent="0.25">
      <c r="B115" s="27" t="s">
        <v>199</v>
      </c>
      <c r="C115" s="122">
        <f t="shared" ref="C115:K115" si="62">IFERROR(C100/C88,"n.m.")</f>
        <v>-0.52449500812630589</v>
      </c>
      <c r="D115" s="122">
        <f t="shared" si="62"/>
        <v>-4.7016884907457191E-3</v>
      </c>
      <c r="E115" s="122">
        <f t="shared" si="62"/>
        <v>-0.11827065787233788</v>
      </c>
      <c r="F115" s="122">
        <f t="shared" si="62"/>
        <v>-0.15162454324956867</v>
      </c>
      <c r="G115" s="122">
        <f t="shared" si="62"/>
        <v>-1.3249042827887099</v>
      </c>
      <c r="H115" s="122">
        <f t="shared" si="62"/>
        <v>-6.1705333095570081E-2</v>
      </c>
      <c r="I115" s="122">
        <f t="shared" si="62"/>
        <v>-0.24486449535779373</v>
      </c>
      <c r="J115" s="122">
        <f t="shared" si="62"/>
        <v>-0.44113497689993197</v>
      </c>
      <c r="K115" s="122">
        <f t="shared" si="62"/>
        <v>-5.7672118676302784</v>
      </c>
    </row>
    <row r="116" spans="1:11" ht="15" customHeight="1" outlineLevel="1" x14ac:dyDescent="0.25">
      <c r="B116" s="27" t="s">
        <v>200</v>
      </c>
      <c r="C116" s="122">
        <f t="shared" ref="C116:K116" si="63">IFERROR(C101/C89,"n.m.")</f>
        <v>0.1676513646345289</v>
      </c>
      <c r="D116" s="122">
        <f t="shared" si="63"/>
        <v>0.24980590039955416</v>
      </c>
      <c r="E116" s="122">
        <f t="shared" si="63"/>
        <v>0.14689084362458987</v>
      </c>
      <c r="F116" s="122">
        <f t="shared" si="63"/>
        <v>0.25884185464710285</v>
      </c>
      <c r="G116" s="122">
        <f t="shared" si="63"/>
        <v>0.18483727886417883</v>
      </c>
      <c r="H116" s="122">
        <f t="shared" si="63"/>
        <v>0.32311277396756483</v>
      </c>
      <c r="I116" s="122">
        <f t="shared" si="63"/>
        <v>0.34487362477794337</v>
      </c>
      <c r="J116" s="122">
        <f t="shared" si="63"/>
        <v>0.20833746640832226</v>
      </c>
      <c r="K116" s="122">
        <f t="shared" si="63"/>
        <v>0.27100257243433523</v>
      </c>
    </row>
    <row r="117" spans="1:11" ht="15" customHeight="1" outlineLevel="1" x14ac:dyDescent="0.25">
      <c r="B117" s="27" t="s">
        <v>201</v>
      </c>
      <c r="C117" s="122">
        <f t="shared" ref="C117:K117" si="64">IFERROR(C102/C90,"n.m.")</f>
        <v>2.9998075257434316</v>
      </c>
      <c r="D117" s="122">
        <f t="shared" si="64"/>
        <v>1.4028539440315129</v>
      </c>
      <c r="E117" s="122">
        <f t="shared" si="64"/>
        <v>-0.98502530818507972</v>
      </c>
      <c r="F117" s="122">
        <f t="shared" si="64"/>
        <v>0.3967427732404657</v>
      </c>
      <c r="G117" s="122">
        <f t="shared" si="64"/>
        <v>3.8932628797886388</v>
      </c>
      <c r="H117" s="122">
        <f t="shared" si="64"/>
        <v>2.7840910014299238</v>
      </c>
      <c r="I117" s="122">
        <f t="shared" si="64"/>
        <v>8.7814073768854932</v>
      </c>
      <c r="J117" s="122">
        <f t="shared" si="64"/>
        <v>-10.287753254012772</v>
      </c>
      <c r="K117" s="122">
        <f t="shared" si="64"/>
        <v>7.4670037485833829</v>
      </c>
    </row>
    <row r="118" spans="1:11" ht="15" customHeight="1" outlineLevel="1" x14ac:dyDescent="0.25">
      <c r="A118" s="65" t="s">
        <v>165</v>
      </c>
      <c r="B118" s="51" t="s">
        <v>242</v>
      </c>
      <c r="C118" s="123">
        <f t="shared" ref="C118:K118" si="65">IFERROR(C103/C91,"n.m.")</f>
        <v>0.17022533950026575</v>
      </c>
      <c r="D118" s="123">
        <f t="shared" si="65"/>
        <v>0.1031980553894388</v>
      </c>
      <c r="E118" s="123">
        <f t="shared" si="65"/>
        <v>8.5528974419534887E-2</v>
      </c>
      <c r="F118" s="123">
        <f t="shared" si="65"/>
        <v>-9.6007349627657279E-3</v>
      </c>
      <c r="G118" s="123">
        <f t="shared" si="65"/>
        <v>1.5340807560706032E-2</v>
      </c>
      <c r="H118" s="123">
        <f t="shared" si="65"/>
        <v>3.7322083822256928E-2</v>
      </c>
      <c r="I118" s="123">
        <f t="shared" si="65"/>
        <v>-7.5471278884842157E-3</v>
      </c>
      <c r="J118" s="123">
        <f t="shared" si="65"/>
        <v>-6.7056755069481735E-2</v>
      </c>
      <c r="K118" s="123">
        <f t="shared" si="65"/>
        <v>0.10799846250888057</v>
      </c>
    </row>
    <row r="119" spans="1:11" x14ac:dyDescent="0.25">
      <c r="F119" s="83"/>
    </row>
    <row r="120" spans="1:11" x14ac:dyDescent="0.25">
      <c r="F120" s="83"/>
    </row>
    <row r="121" spans="1:11" ht="20.100000000000001" customHeight="1" outlineLevel="1" x14ac:dyDescent="0.25">
      <c r="B121" s="36" t="s">
        <v>161</v>
      </c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5" customHeight="1" outlineLevel="1" x14ac:dyDescent="0.25">
      <c r="B122" s="38" t="s">
        <v>65</v>
      </c>
      <c r="C122" s="39" t="s">
        <v>188</v>
      </c>
      <c r="D122" s="39" t="s">
        <v>190</v>
      </c>
      <c r="E122" s="39" t="s">
        <v>193</v>
      </c>
      <c r="F122" s="39">
        <v>2019</v>
      </c>
      <c r="G122" s="39" t="s">
        <v>195</v>
      </c>
      <c r="H122" s="39" t="s">
        <v>221</v>
      </c>
      <c r="I122" s="39" t="s">
        <v>228</v>
      </c>
      <c r="J122" s="39">
        <v>2020</v>
      </c>
      <c r="K122" s="39" t="s">
        <v>245</v>
      </c>
    </row>
    <row r="123" spans="1:11" ht="15" customHeight="1" outlineLevel="1" x14ac:dyDescent="0.25">
      <c r="B123" s="50" t="s">
        <v>197</v>
      </c>
      <c r="C123" s="3">
        <f>'Finansal Veriler - Yeni Segment'!C182/'Finansal Veriler - Yeni - USD'!C$12</f>
        <v>6.0661209420276396</v>
      </c>
      <c r="D123" s="3">
        <f>'Finansal Veriler - Yeni Segment'!D182/'Finansal Veriler - Yeni - USD'!D$12</f>
        <v>9.2366140541310013</v>
      </c>
      <c r="E123" s="3">
        <f>'Finansal Veriler - Yeni Segment'!E182/'Finansal Veriler - Yeni - USD'!E$12</f>
        <v>11.363023181511565</v>
      </c>
      <c r="F123" s="3">
        <f>'Finansal Veriler - Yeni Segment'!F182/'Finansal Veriler - Yeni - USD'!F$12</f>
        <v>18.994216391592648</v>
      </c>
      <c r="G123" s="3">
        <f>'Finansal Veriler - Yeni Segment'!G182/'Finansal Veriler - Yeni - USD'!G$12</f>
        <v>6.7109863593834751</v>
      </c>
      <c r="H123" s="3">
        <f>'Finansal Veriler - Yeni Segment'!H182/'Finansal Veriler - Yeni - USD'!H$12</f>
        <v>17.360460984690491</v>
      </c>
      <c r="I123" s="3">
        <f>'Finansal Veriler - Yeni Segment'!I182/'Finansal Veriler - Yeni - USD'!I$12</f>
        <v>20.058383724047598</v>
      </c>
      <c r="J123" s="3">
        <f>'Finansal Veriler - Yeni Segment'!J182/'Finansal Veriler - Yeni - USD'!J$12</f>
        <v>34.839792100979572</v>
      </c>
      <c r="K123" s="3">
        <f>'Finansal Veriler - Yeni Segment'!K182/'Finansal Veriler - Yeni - USD'!K$12</f>
        <v>9.5843733043950099</v>
      </c>
    </row>
    <row r="124" spans="1:11" ht="15" customHeight="1" outlineLevel="1" x14ac:dyDescent="0.25">
      <c r="B124" s="27" t="s">
        <v>198</v>
      </c>
      <c r="C124" s="3">
        <f>'Finansal Veriler - Yeni Segment'!C183/'Finansal Veriler - Yeni - USD'!C$12</f>
        <v>0.90827723806149763</v>
      </c>
      <c r="D124" s="3">
        <f>'Finansal Veriler - Yeni Segment'!D183/'Finansal Veriler - Yeni - USD'!D$12</f>
        <v>4.808619677206968</v>
      </c>
      <c r="E124" s="3">
        <f>'Finansal Veriler - Yeni Segment'!E183/'Finansal Veriler - Yeni - USD'!E$12</f>
        <v>5.2272001136000457</v>
      </c>
      <c r="F124" s="3">
        <f>'Finansal Veriler - Yeni Segment'!F183/'Finansal Veriler - Yeni - USD'!F$12</f>
        <v>10.084638171815509</v>
      </c>
      <c r="G124" s="3">
        <f>'Finansal Veriler - Yeni Segment'!G183/'Finansal Veriler - Yeni - USD'!G$12</f>
        <v>3.4598906780913046</v>
      </c>
      <c r="H124" s="3">
        <f>'Finansal Veriler - Yeni Segment'!H183/'Finansal Veriler - Yeni - USD'!H$12</f>
        <v>19.799941295515289</v>
      </c>
      <c r="I124" s="3">
        <f>'Finansal Veriler - Yeni Segment'!I183/'Finansal Veriler - Yeni - USD'!I$12</f>
        <v>27.705013255488449</v>
      </c>
      <c r="J124" s="3">
        <f>'Finansal Veriler - Yeni Segment'!J183/'Finansal Veriler - Yeni - USD'!J$12</f>
        <v>34.345032412828097</v>
      </c>
      <c r="K124" s="3">
        <f>'Finansal Veriler - Yeni Segment'!K183/'Finansal Veriler - Yeni - USD'!K$12</f>
        <v>3.2269397721106894</v>
      </c>
    </row>
    <row r="125" spans="1:11" ht="15" customHeight="1" outlineLevel="1" x14ac:dyDescent="0.25">
      <c r="B125" s="27" t="s">
        <v>199</v>
      </c>
      <c r="C125" s="3">
        <f>'Finansal Veriler - Yeni Segment'!C184/'Finansal Veriler - Yeni - USD'!C$12</f>
        <v>2.98364690745679</v>
      </c>
      <c r="D125" s="3">
        <f>'Finansal Veriler - Yeni Segment'!D184/'Finansal Veriler - Yeni - USD'!D$12</f>
        <v>2.8473050162820077</v>
      </c>
      <c r="E125" s="3">
        <f>'Finansal Veriler - Yeni Segment'!E184/'Finansal Veriler - Yeni - USD'!E$12</f>
        <v>7.349923674961822</v>
      </c>
      <c r="F125" s="3">
        <f>'Finansal Veriler - Yeni Segment'!F184/'Finansal Veriler - Yeni - USD'!F$12</f>
        <v>9.1040696854281471</v>
      </c>
      <c r="G125" s="3">
        <f>'Finansal Veriler - Yeni Segment'!G184/'Finansal Veriler - Yeni - USD'!G$12</f>
        <v>0.86045862674611528</v>
      </c>
      <c r="H125" s="3">
        <f>'Finansal Veriler - Yeni Segment'!H184/'Finansal Veriler - Yeni - USD'!H$12</f>
        <v>4.3157065393706269</v>
      </c>
      <c r="I125" s="3">
        <f>'Finansal Veriler - Yeni Segment'!I184/'Finansal Veriler - Yeni - USD'!I$12</f>
        <v>5.2738971135801886</v>
      </c>
      <c r="J125" s="3">
        <f>'Finansal Veriler - Yeni Segment'!J184/'Finansal Veriler - Yeni - USD'!J$12</f>
        <v>6.1083188165748146</v>
      </c>
      <c r="K125" s="3">
        <f>'Finansal Veriler - Yeni Segment'!K184/'Finansal Veriler - Yeni - USD'!K$12</f>
        <v>0.26994031470428648</v>
      </c>
    </row>
    <row r="126" spans="1:11" ht="15" customHeight="1" outlineLevel="1" x14ac:dyDescent="0.25">
      <c r="B126" s="27" t="s">
        <v>200</v>
      </c>
      <c r="C126" s="3">
        <f>'Finansal Veriler - Yeni Segment'!C185/'Finansal Veriler - Yeni - USD'!C$12</f>
        <v>0.70502899550616349</v>
      </c>
      <c r="D126" s="3">
        <f>'Finansal Veriler - Yeni Segment'!D185/'Finansal Veriler - Yeni - USD'!D$12</f>
        <v>2.0154100752709216</v>
      </c>
      <c r="E126" s="3">
        <f>'Finansal Veriler - Yeni Segment'!E185/'Finansal Veriler - Yeni - USD'!E$12</f>
        <v>3.0858390429195151</v>
      </c>
      <c r="F126" s="3">
        <f>'Finansal Veriler - Yeni Segment'!F185/'Finansal Veriler - Yeni - USD'!F$12</f>
        <v>10.968930737762754</v>
      </c>
      <c r="G126" s="3">
        <f>'Finansal Veriler - Yeni Segment'!G185/'Finansal Veriler - Yeni - USD'!G$12</f>
        <v>0.80776743651614524</v>
      </c>
      <c r="H126" s="3">
        <f>'Finansal Veriler - Yeni Segment'!H185/'Finansal Veriler - Yeni - USD'!H$12</f>
        <v>2.0535755665755207</v>
      </c>
      <c r="I126" s="3">
        <f>'Finansal Veriler - Yeni Segment'!I185/'Finansal Veriler - Yeni - USD'!I$12</f>
        <v>3.0855500282982424</v>
      </c>
      <c r="J126" s="3">
        <f>'Finansal Veriler - Yeni Segment'!J185/'Finansal Veriler - Yeni - USD'!J$12</f>
        <v>4.4169974583773657</v>
      </c>
      <c r="K126" s="3">
        <f>'Finansal Veriler - Yeni Segment'!K185/'Finansal Veriler - Yeni - USD'!K$12</f>
        <v>0.44343461747151386</v>
      </c>
    </row>
    <row r="127" spans="1:11" ht="15" customHeight="1" outlineLevel="1" x14ac:dyDescent="0.25">
      <c r="B127" s="27" t="s">
        <v>201</v>
      </c>
      <c r="C127" s="3">
        <f>'Finansal Veriler - Yeni Segment'!C186/'Finansal Veriler - Yeni - USD'!C$12</f>
        <v>0.2619851199910499</v>
      </c>
      <c r="D127" s="3">
        <f>'Finansal Veriler - Yeni Segment'!D186/'Finansal Veriler - Yeni - USD'!D$12</f>
        <v>1.6502660284356812</v>
      </c>
      <c r="E127" s="3">
        <f>'Finansal Veriler - Yeni Segment'!E186/'Finansal Veriler - Yeni - USD'!E$12</f>
        <v>2.0795910397955151</v>
      </c>
      <c r="F127" s="3">
        <f>'Finansal Veriler - Yeni Segment'!F186/'Finansal Veriler - Yeni - USD'!F$12</f>
        <v>2.2982790238397568</v>
      </c>
      <c r="G127" s="3">
        <f>'Finansal Veriler - Yeni Segment'!G186/'Finansal Veriler - Yeni - USD'!G$12</f>
        <v>9.9801382117824897E-2</v>
      </c>
      <c r="H127" s="3">
        <f>'Finansal Veriler - Yeni Segment'!H186/'Finansal Veriler - Yeni - USD'!H$12</f>
        <v>0.44337334507423037</v>
      </c>
      <c r="I127" s="3">
        <f>'Finansal Veriler - Yeni Segment'!I186/'Finansal Veriler - Yeni - USD'!I$12</f>
        <v>0.76583956390932884</v>
      </c>
      <c r="J127" s="3">
        <f>'Finansal Veriler - Yeni Segment'!J186/'Finansal Veriler - Yeni - USD'!J$12</f>
        <v>1.3541993888682657</v>
      </c>
      <c r="K127" s="3">
        <f>'Finansal Veriler - Yeni Segment'!K186/'Finansal Veriler - Yeni - USD'!K$12</f>
        <v>2.7943570265870861E-2</v>
      </c>
    </row>
    <row r="128" spans="1:11" ht="15" customHeight="1" outlineLevel="1" x14ac:dyDescent="0.25">
      <c r="B128" s="51" t="s">
        <v>162</v>
      </c>
      <c r="C128" s="52">
        <f>'Finansal Veriler - Yeni Segment'!C187/'Finansal Veriler - Yeni - USD'!C$12</f>
        <v>10.925059203043142</v>
      </c>
      <c r="D128" s="52">
        <f>'Finansal Veriler - Yeni Segment'!D187/'Finansal Veriler - Yeni - USD'!D$12</f>
        <v>20.558214851326582</v>
      </c>
      <c r="E128" s="52">
        <f>'Finansal Veriler - Yeni Segment'!E187/'Finansal Veriler - Yeni - USD'!E$12</f>
        <v>29.105577052788462</v>
      </c>
      <c r="F128" s="52">
        <f>'Finansal Veriler - Yeni Segment'!F187/'Finansal Veriler - Yeni - USD'!F$12</f>
        <v>51.450134010438816</v>
      </c>
      <c r="G128" s="52">
        <f>'Finansal Veriler - Yeni Segment'!G187/'Finansal Veriler - Yeni - USD'!G$12</f>
        <v>11.938904482854866</v>
      </c>
      <c r="H128" s="52">
        <f>'Finansal Veriler - Yeni Segment'!H187/'Finansal Veriler - Yeni - USD'!H$12</f>
        <v>43.973057731226156</v>
      </c>
      <c r="I128" s="52">
        <f>'Finansal Veriler - Yeni Segment'!I187/'Finansal Veriler - Yeni - USD'!I$12</f>
        <v>56.888683685323805</v>
      </c>
      <c r="J128" s="52">
        <f>'Finansal Veriler - Yeni Segment'!J187/'Finansal Veriler - Yeni - USD'!J$12</f>
        <v>81.064340177628111</v>
      </c>
      <c r="K128" s="52">
        <f>'Finansal Veriler - Yeni Segment'!K187/'Finansal Veriler - Yeni - USD'!K$12</f>
        <v>13.552631578947368</v>
      </c>
    </row>
    <row r="129" spans="1:11" ht="15" customHeight="1" outlineLevel="1" x14ac:dyDescent="0.25">
      <c r="B129" s="50" t="s">
        <v>197</v>
      </c>
      <c r="C129" s="3">
        <f>'Finansal Veriler - Yeni Segment'!C188/'Finansal Veriler - Yeni - USD'!C$12</f>
        <v>7.3523653247310303</v>
      </c>
      <c r="D129" s="3">
        <f>'Finansal Veriler - Yeni Segment'!D188/'Finansal Veriler - Yeni - USD'!D$12</f>
        <v>17.401996547858424</v>
      </c>
      <c r="E129" s="3">
        <f>'Finansal Veriler - Yeni Segment'!E188/'Finansal Veriler - Yeni - USD'!E$12</f>
        <v>25.924952962476425</v>
      </c>
      <c r="F129" s="3">
        <f>'Finansal Veriler - Yeni Segment'!F188/'Finansal Veriler - Yeni - USD'!F$12</f>
        <v>34.021723797432713</v>
      </c>
      <c r="G129" s="3">
        <f>'Finansal Veriler - Yeni Segment'!G188/'Finansal Veriler - Yeni - USD'!G$12</f>
        <v>7.3695441637530701</v>
      </c>
      <c r="H129" s="3">
        <f>'Finansal Veriler - Yeni Segment'!H188/'Finansal Veriler - Yeni - USD'!H$12</f>
        <v>13.81239282569403</v>
      </c>
      <c r="I129" s="3">
        <f>'Finansal Veriler - Yeni Segment'!I188/'Finansal Veriler - Yeni - USD'!I$12</f>
        <v>21.263292722885886</v>
      </c>
      <c r="J129" s="3">
        <f>'Finansal Veriler - Yeni Segment'!J188/'Finansal Veriler - Yeni - USD'!J$12</f>
        <v>28.313390638832601</v>
      </c>
      <c r="K129" s="3">
        <f>'Finansal Veriler - Yeni Segment'!K188/'Finansal Veriler - Yeni - USD'!K$12</f>
        <v>7.7101193705914266</v>
      </c>
    </row>
    <row r="130" spans="1:11" ht="15" customHeight="1" outlineLevel="1" x14ac:dyDescent="0.25">
      <c r="B130" s="27" t="s">
        <v>198</v>
      </c>
      <c r="C130" s="3">
        <f>'Finansal Veriler - Yeni Segment'!C189/'Finansal Veriler - Yeni - USD'!C$12</f>
        <v>3.3892110611795889</v>
      </c>
      <c r="D130" s="3">
        <f>'Finansal Veriler - Yeni Segment'!D189/'Finansal Veriler - Yeni - USD'!D$12</f>
        <v>5.6093741658807401</v>
      </c>
      <c r="E130" s="3">
        <f>'Finansal Veriler - Yeni Segment'!E189/'Finansal Veriler - Yeni - USD'!E$12</f>
        <v>8.1193865596932628</v>
      </c>
      <c r="F130" s="3">
        <f>'Finansal Veriler - Yeni Segment'!F189/'Finansal Veriler - Yeni - USD'!F$12</f>
        <v>11.50074058400341</v>
      </c>
      <c r="G130" s="3">
        <f>'Finansal Veriler - Yeni Segment'!G189/'Finansal Veriler - Yeni - USD'!G$12</f>
        <v>3.2394412435777538</v>
      </c>
      <c r="H130" s="3">
        <f>'Finansal Veriler - Yeni Segment'!H189/'Finansal Veriler - Yeni - USD'!H$12</f>
        <v>4.7484203859047449</v>
      </c>
      <c r="I130" s="3">
        <f>'Finansal Veriler - Yeni Segment'!I189/'Finansal Veriler - Yeni - USD'!I$12</f>
        <v>8.5058532662119344</v>
      </c>
      <c r="J130" s="3">
        <f>'Finansal Veriler - Yeni Segment'!J189/'Finansal Veriler - Yeni - USD'!J$12</f>
        <v>10.954536368049817</v>
      </c>
      <c r="K130" s="3">
        <f>'Finansal Veriler - Yeni Segment'!K189/'Finansal Veriler - Yeni - USD'!K$12</f>
        <v>2.716087900162778</v>
      </c>
    </row>
    <row r="131" spans="1:11" ht="15" customHeight="1" outlineLevel="1" x14ac:dyDescent="0.25">
      <c r="B131" s="27" t="s">
        <v>199</v>
      </c>
      <c r="C131" s="3">
        <f>'Finansal Veriler - Yeni Segment'!C190/'Finansal Veriler - Yeni - USD'!C$12</f>
        <v>0.46486042999123656</v>
      </c>
      <c r="D131" s="3">
        <f>'Finansal Veriler - Yeni Segment'!D190/'Finansal Veriler - Yeni - USD'!D$12</f>
        <v>0.96482018613093201</v>
      </c>
      <c r="E131" s="3">
        <f>'Finansal Veriler - Yeni Segment'!E190/'Finansal Veriler - Yeni - USD'!E$12</f>
        <v>1.1393730696865323</v>
      </c>
      <c r="F131" s="3">
        <f>'Finansal Veriler - Yeni Segment'!F190/'Finansal Veriler - Yeni - USD'!F$12</f>
        <v>1.7652348709267915</v>
      </c>
      <c r="G131" s="3">
        <f>'Finansal Veriler - Yeni Segment'!G190/'Finansal Veriler - Yeni - USD'!G$12</f>
        <v>0.47044533083829959</v>
      </c>
      <c r="H131" s="3">
        <f>'Finansal Veriler - Yeni Segment'!H190/'Finansal Veriler - Yeni - USD'!H$12</f>
        <v>1.0454032843614345</v>
      </c>
      <c r="I131" s="3">
        <f>'Finansal Veriler - Yeni Segment'!I190/'Finansal Veriler - Yeni - USD'!I$12</f>
        <v>1.5537219624080354</v>
      </c>
      <c r="J131" s="3">
        <f>'Finansal Veriler - Yeni Segment'!J190/'Finansal Veriler - Yeni - USD'!J$12</f>
        <v>2.1253962361138901</v>
      </c>
      <c r="K131" s="3">
        <f>'Finansal Veriler - Yeni Segment'!K190/'Finansal Veriler - Yeni - USD'!K$12</f>
        <v>0.71011937059142705</v>
      </c>
    </row>
    <row r="132" spans="1:11" ht="15" customHeight="1" outlineLevel="1" x14ac:dyDescent="0.25">
      <c r="B132" s="27" t="s">
        <v>200</v>
      </c>
      <c r="C132" s="3">
        <f>'Finansal Veriler - Yeni Segment'!C191/'Finansal Veriler - Yeni - USD'!C$12</f>
        <v>0.44061981390665544</v>
      </c>
      <c r="D132" s="3">
        <f>'Finansal Veriler - Yeni Segment'!D191/'Finansal Veriler - Yeni - USD'!D$12</f>
        <v>0.9390180970514439</v>
      </c>
      <c r="E132" s="3">
        <f>'Finansal Veriler - Yeni Segment'!E191/'Finansal Veriler - Yeni - USD'!E$12</f>
        <v>1.384145692072843</v>
      </c>
      <c r="F132" s="3">
        <f>'Finansal Veriler - Yeni Segment'!F191/'Finansal Veriler - Yeni - USD'!F$12</f>
        <v>2.0496543941317578</v>
      </c>
      <c r="G132" s="3">
        <f>'Finansal Veriler - Yeni Segment'!G191/'Finansal Veriler - Yeni - USD'!G$12</f>
        <v>0.50557279099161301</v>
      </c>
      <c r="H132" s="3">
        <f>'Finansal Veriler - Yeni Segment'!H191/'Finansal Veriler - Yeni - USD'!H$12</f>
        <v>0.99117887874434218</v>
      </c>
      <c r="I132" s="3">
        <f>'Finansal Veriler - Yeni Segment'!I191/'Finansal Veriler - Yeni - USD'!I$12</f>
        <v>1.4767209794167626</v>
      </c>
      <c r="J132" s="3">
        <f>'Finansal Veriler - Yeni Segment'!J191/'Finansal Veriler - Yeni - USD'!J$12</f>
        <v>1.9357740526030238</v>
      </c>
      <c r="K132" s="3">
        <f>'Finansal Veriler - Yeni Segment'!K191/'Finansal Veriler - Yeni - USD'!K$12</f>
        <v>0.46147585458491591</v>
      </c>
    </row>
    <row r="133" spans="1:11" ht="15" customHeight="1" outlineLevel="1" x14ac:dyDescent="0.25">
      <c r="B133" s="27" t="s">
        <v>201</v>
      </c>
      <c r="C133" s="3">
        <f>'Finansal Veriler - Yeni Segment'!C192/'Finansal Veriler - Yeni - USD'!C$12</f>
        <v>0.36845736448563315</v>
      </c>
      <c r="D133" s="3">
        <f>'Finansal Veriler - Yeni Segment'!D192/'Finansal Veriler - Yeni - USD'!D$12</f>
        <v>0.62636795558481762</v>
      </c>
      <c r="E133" s="3">
        <f>'Finansal Veriler - Yeni Segment'!E192/'Finansal Veriler - Yeni - USD'!E$12</f>
        <v>1.1592530796265372</v>
      </c>
      <c r="F133" s="3">
        <f>'Finansal Veriler - Yeni Segment'!F192/'Finansal Veriler - Yeni - USD'!F$12</f>
        <v>1.640922556072792</v>
      </c>
      <c r="G133" s="3">
        <f>'Finansal Veriler - Yeni Segment'!G192/'Finansal Veriler - Yeni - USD'!G$12</f>
        <v>0.45353818880189173</v>
      </c>
      <c r="H133" s="3">
        <f>'Finansal Veriler - Yeni Segment'!H192/'Finansal Veriler - Yeni - USD'!H$12</f>
        <v>0.91409062118613971</v>
      </c>
      <c r="I133" s="3">
        <f>'Finansal Veriler - Yeni Segment'!I192/'Finansal Veriler - Yeni - USD'!I$12</f>
        <v>1.2953144082690453</v>
      </c>
      <c r="J133" s="3">
        <f>'Finansal Veriler - Yeni Segment'!J192/'Finansal Veriler - Yeni - USD'!J$12</f>
        <v>1.6516263529143009</v>
      </c>
      <c r="K133" s="3">
        <f>'Finansal Veriler - Yeni Segment'!K192/'Finansal Veriler - Yeni - USD'!K$12</f>
        <v>0.50013564839934888</v>
      </c>
    </row>
    <row r="134" spans="1:11" ht="15" customHeight="1" outlineLevel="1" x14ac:dyDescent="0.25">
      <c r="A134" s="65" t="s">
        <v>165</v>
      </c>
      <c r="B134" s="51" t="s">
        <v>163</v>
      </c>
      <c r="C134" s="52">
        <f>'Finansal Veriler - Yeni Segment'!C193/'Finansal Veriler - Yeni - USD'!C$12</f>
        <v>12.015513994294144</v>
      </c>
      <c r="D134" s="52">
        <f>'Finansal Veriler - Yeni Segment'!D193/'Finansal Veriler - Yeni - USD'!D$12</f>
        <v>25.541576952506354</v>
      </c>
      <c r="E134" s="52">
        <f>'Finansal Veriler - Yeni Segment'!E193/'Finansal Veriler - Yeni - USD'!E$12</f>
        <v>37.727111363555601</v>
      </c>
      <c r="F134" s="52">
        <f>'Finansal Veriler - Yeni Segment'!F193/'Finansal Veriler - Yeni - USD'!F$12</f>
        <v>50.978276202567464</v>
      </c>
      <c r="G134" s="52">
        <f>'Finansal Veriler - Yeni Segment'!G193/'Finansal Veriler - Yeni - USD'!G$12</f>
        <v>12.038541717962628</v>
      </c>
      <c r="H134" s="52">
        <f>'Finansal Veriler - Yeni Segment'!H193/'Finansal Veriler - Yeni - USD'!H$12</f>
        <v>21.511485995890691</v>
      </c>
      <c r="I134" s="52">
        <f>'Finansal Veriler - Yeni Segment'!I193/'Finansal Veriler - Yeni - USD'!I$12</f>
        <v>34.09490333919166</v>
      </c>
      <c r="J134" s="52">
        <f>'Finansal Veriler - Yeni Segment'!J193/'Finansal Veriler - Yeni - USD'!J$12</f>
        <v>44.980723648513631</v>
      </c>
      <c r="K134" s="52">
        <f>'Finansal Veriler - Yeni Segment'!K193/'Finansal Veriler - Yeni - USD'!K$12</f>
        <v>12.097938144329898</v>
      </c>
    </row>
    <row r="135" spans="1:11" x14ac:dyDescent="0.25">
      <c r="F135" s="83"/>
    </row>
    <row r="136" spans="1:11" x14ac:dyDescent="0.25">
      <c r="F136" s="83"/>
    </row>
    <row r="137" spans="1:11" ht="20.100000000000001" customHeight="1" outlineLevel="1" x14ac:dyDescent="0.25">
      <c r="B137" s="36" t="s">
        <v>166</v>
      </c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outlineLevel="1" x14ac:dyDescent="0.25">
      <c r="B138" s="38" t="s">
        <v>65</v>
      </c>
      <c r="C138" s="39" t="s">
        <v>188</v>
      </c>
      <c r="D138" s="39" t="s">
        <v>190</v>
      </c>
      <c r="E138" s="39" t="s">
        <v>193</v>
      </c>
      <c r="F138" s="39">
        <v>2019</v>
      </c>
      <c r="G138" s="39" t="s">
        <v>195</v>
      </c>
      <c r="H138" s="39" t="s">
        <v>221</v>
      </c>
      <c r="I138" s="39" t="s">
        <v>228</v>
      </c>
      <c r="J138" s="39">
        <v>2020</v>
      </c>
      <c r="K138" s="39" t="s">
        <v>245</v>
      </c>
    </row>
    <row r="139" spans="1:11" ht="15" customHeight="1" outlineLevel="1" x14ac:dyDescent="0.25">
      <c r="B139" s="50" t="s">
        <v>197</v>
      </c>
      <c r="C139" s="3"/>
      <c r="D139" s="3"/>
      <c r="E139" s="3"/>
      <c r="F139" s="3">
        <f>'Finansal Veriler - Yeni Segment'!F198/'Finansal Veriler - Yeni - USD'!F$13</f>
        <v>262.95914278980507</v>
      </c>
      <c r="G139" s="3">
        <f>'Finansal Veriler - Yeni Segment'!G198/'Finansal Veriler - Yeni - USD'!G$13</f>
        <v>193.00506445672141</v>
      </c>
      <c r="H139" s="3">
        <f>'Finansal Veriler - Yeni Segment'!H198/'Finansal Veriler - Yeni - USD'!H$13</f>
        <v>71.414749641928168</v>
      </c>
      <c r="I139" s="3">
        <f>'Finansal Veriler - Yeni Segment'!I198/'Finansal Veriler - Yeni - USD'!I$13</f>
        <v>-61.859631147540846</v>
      </c>
      <c r="J139" s="3">
        <f>'Finansal Veriler - Yeni Segment'!J198/'Finansal Veriler - Yeni - USD'!J$13</f>
        <v>-45.834479940058614</v>
      </c>
      <c r="K139" s="3">
        <f>'Finansal Veriler - Yeni Segment'!K198/'Finansal Veriler - Yeni - USD'!K$13</f>
        <v>-102.69949555608936</v>
      </c>
    </row>
    <row r="140" spans="1:11" ht="15" customHeight="1" outlineLevel="1" x14ac:dyDescent="0.25">
      <c r="B140" s="27" t="s">
        <v>198</v>
      </c>
      <c r="C140" s="3"/>
      <c r="D140" s="3"/>
      <c r="E140" s="3"/>
      <c r="F140" s="3">
        <f>'Finansal Veriler - Yeni Segment'!F199/'Finansal Veriler - Yeni - USD'!F$13</f>
        <v>95.893909295983306</v>
      </c>
      <c r="G140" s="3">
        <f>'Finansal Veriler - Yeni Segment'!G199/'Finansal Veriler - Yeni - USD'!G$13</f>
        <v>62.733118477593443</v>
      </c>
      <c r="H140" s="3">
        <f>'Finansal Veriler - Yeni Segment'!H199/'Finansal Veriler - Yeni - USD'!H$13</f>
        <v>21.447487650171034</v>
      </c>
      <c r="I140" s="3">
        <f>'Finansal Veriler - Yeni Segment'!I199/'Finansal Veriler - Yeni - USD'!I$13</f>
        <v>28.688524590163869</v>
      </c>
      <c r="J140" s="3">
        <f>'Finansal Veriler - Yeni Segment'!J199/'Finansal Veriler - Yeni - USD'!J$13</f>
        <v>47.296778148627517</v>
      </c>
      <c r="K140" s="3">
        <f>'Finansal Veriler - Yeni Segment'!K199/'Finansal Veriler - Yeni - USD'!K$13</f>
        <v>106.85923612779246</v>
      </c>
    </row>
    <row r="141" spans="1:11" ht="15" customHeight="1" outlineLevel="1" x14ac:dyDescent="0.25">
      <c r="B141" s="27" t="s">
        <v>199</v>
      </c>
      <c r="C141" s="3"/>
      <c r="D141" s="3"/>
      <c r="E141" s="3"/>
      <c r="F141" s="3">
        <f>'Finansal Veriler - Yeni Segment'!F200/'Finansal Veriler - Yeni - USD'!F$13</f>
        <v>-7.9228477155651333</v>
      </c>
      <c r="G141" s="3">
        <f>'Finansal Veriler - Yeni Segment'!G200/'Finansal Veriler - Yeni - USD'!G$13</f>
        <v>-9.2561387354204783</v>
      </c>
      <c r="H141" s="3">
        <f>'Finansal Veriler - Yeni Segment'!H200/'Finansal Veriler - Yeni - USD'!H$13</f>
        <v>-17.897898336792291</v>
      </c>
      <c r="I141" s="3">
        <f>'Finansal Veriler - Yeni Segment'!I200/'Finansal Veriler - Yeni - USD'!I$13</f>
        <v>-19.595286885245859</v>
      </c>
      <c r="J141" s="3">
        <f>'Finansal Veriler - Yeni Segment'!J200/'Finansal Veriler - Yeni - USD'!J$13</f>
        <v>-23.992616306791106</v>
      </c>
      <c r="K141" s="3">
        <f>'Finansal Veriler - Yeni Segment'!K200/'Finansal Veriler - Yeni - USD'!K$13</f>
        <v>-23.902882536632234</v>
      </c>
    </row>
    <row r="142" spans="1:11" ht="15" customHeight="1" outlineLevel="1" x14ac:dyDescent="0.25">
      <c r="B142" s="27" t="s">
        <v>200</v>
      </c>
      <c r="C142" s="3"/>
      <c r="D142" s="3"/>
      <c r="E142" s="3"/>
      <c r="F142" s="3">
        <f>'Finansal Veriler - Yeni Segment'!F201/'Finansal Veriler - Yeni - USD'!F$13</f>
        <v>1.9001380424901519</v>
      </c>
      <c r="G142" s="3">
        <f>'Finansal Veriler - Yeni Segment'!G201/'Finansal Veriler - Yeni - USD'!G$13</f>
        <v>6.9147022713320858</v>
      </c>
      <c r="H142" s="3">
        <f>'Finansal Veriler - Yeni Segment'!H201/'Finansal Veriler - Yeni - USD'!H$13</f>
        <v>23.147233345999865</v>
      </c>
      <c r="I142" s="3">
        <f>'Finansal Veriler - Yeni Segment'!I201/'Finansal Veriler - Yeni - USD'!I$13</f>
        <v>23.053278688524539</v>
      </c>
      <c r="J142" s="3">
        <f>'Finansal Veriler - Yeni Segment'!J201/'Finansal Veriler - Yeni - USD'!J$13</f>
        <v>24.316599686669864</v>
      </c>
      <c r="K142" s="3">
        <f>'Finansal Veriler - Yeni Segment'!K201/'Finansal Veriler - Yeni - USD'!K$13</f>
        <v>11.875582512611098</v>
      </c>
    </row>
    <row r="143" spans="1:11" ht="15" customHeight="1" outlineLevel="1" x14ac:dyDescent="0.25">
      <c r="B143" s="27" t="s">
        <v>201</v>
      </c>
      <c r="C143" s="3"/>
      <c r="D143" s="3"/>
      <c r="E143" s="3"/>
      <c r="F143" s="3">
        <f>'Finansal Veriler - Yeni Segment'!F202/'Finansal Veriler - Yeni - USD'!F$13</f>
        <v>207.59253897175179</v>
      </c>
      <c r="G143" s="3">
        <f>'Finansal Veriler - Yeni Segment'!G202/'Finansal Veriler - Yeni - USD'!G$13</f>
        <v>257.89217311233813</v>
      </c>
      <c r="H143" s="3">
        <f>'Finansal Veriler - Yeni Segment'!H202/'Finansal Veriler - Yeni - USD'!H$13</f>
        <v>167.70000876910964</v>
      </c>
      <c r="I143" s="3">
        <f>'Finansal Veriler - Yeni Segment'!I202/'Finansal Veriler - Yeni - USD'!I$13</f>
        <v>144.72336065573737</v>
      </c>
      <c r="J143" s="3">
        <f>'Finansal Veriler - Yeni Segment'!J202/'Finansal Veriler - Yeni - USD'!J$13</f>
        <v>140.75430828962618</v>
      </c>
      <c r="K143" s="3">
        <f>'Finansal Veriler - Yeni Segment'!K202/'Finansal Veriler - Yeni - USD'!K$13</f>
        <v>128.88674033149172</v>
      </c>
    </row>
    <row r="144" spans="1:11" ht="15" customHeight="1" outlineLevel="1" x14ac:dyDescent="0.25">
      <c r="A144" s="65" t="s">
        <v>165</v>
      </c>
      <c r="B144" s="51" t="s">
        <v>167</v>
      </c>
      <c r="C144" s="52"/>
      <c r="D144" s="52"/>
      <c r="E144" s="52"/>
      <c r="F144" s="52">
        <f>'Finansal Veriler - Yeni Segment'!F203/'Finansal Veriler - Yeni - USD'!F$13</f>
        <v>560.42271303996506</v>
      </c>
      <c r="G144" s="52">
        <f>'Finansal Veriler - Yeni Segment'!G203/'Finansal Veriler - Yeni - USD'!G$13</f>
        <v>511.28878146101766</v>
      </c>
      <c r="H144" s="52">
        <f>'Finansal Veriler - Yeni Segment'!H203/'Finansal Veriler - Yeni - USD'!H$13</f>
        <v>265.81158107041642</v>
      </c>
      <c r="I144" s="52">
        <f>'Finansal Veriler - Yeni Segment'!I203/'Finansal Veriler - Yeni - USD'!I$13</f>
        <v>115.13831967213089</v>
      </c>
      <c r="J144" s="52">
        <f>'Finansal Veriler - Yeni Segment'!J203/'Finansal Veriler - Yeni - USD'!J$13</f>
        <v>142.54058987807383</v>
      </c>
      <c r="K144" s="52">
        <f>'Finansal Veriler - Yeni Segment'!K203/'Finansal Veriler - Yeni - USD'!K$13</f>
        <v>121.01918087917369</v>
      </c>
    </row>
    <row r="145" spans="1:7" x14ac:dyDescent="0.25">
      <c r="A145" s="65"/>
      <c r="B145" s="42"/>
    </row>
    <row r="147" spans="1:7" x14ac:dyDescent="0.25">
      <c r="G147" s="3"/>
    </row>
    <row r="148" spans="1:7" ht="14.4" x14ac:dyDescent="0.3">
      <c r="C148"/>
    </row>
  </sheetData>
  <hyperlinks>
    <hyperlink ref="B4" location="'Finansal Veriler - Yeni - USD'!A44" display="Konsolide Özet Gelir Tablosu (Çeyreklik)" xr:uid="{F254E564-DC9A-4EC5-A5A8-2FCF8D74C954}"/>
    <hyperlink ref="B3" location="'Finansal Veriler - Yeni - USD'!A28" display="Konsolide Özet Gelir Tablosu (Kümülatif)" xr:uid="{ED57BC9A-10CB-4E24-8661-2E893EA2B60F}"/>
    <hyperlink ref="B5" location="'Finansal Veriler - Yeni - USD'!A66" display="Konsolide Gelir, FAVÖK ve Net Kar Dağılımı (Kümülatif)" xr:uid="{46606D54-1C54-412D-8128-9F1025950F7C}"/>
    <hyperlink ref="B7" location="'Finansal Veriler - Yeni - USD'!A103" display="Konsolide Gelir, FAVÖK ve Net Kar Dağılımı (Çeyreklik)" xr:uid="{4C0ADEE0-9F2F-41C0-B413-361DC8F289C0}"/>
    <hyperlink ref="A28" location="'Finansal Veriler - Yeni - USD'!A1" display="Yukarı" xr:uid="{AD169649-3297-4440-B0F4-A301376DAFBB}"/>
    <hyperlink ref="B9" location="'Finansal Veriler - Yeni - USD'!A134" display="Maddi, maddi olmayan duran varlıklar ile ilgili bölümler bazında bilgi" xr:uid="{35C460C0-BB02-4C76-B7EA-A59F59669CEF}"/>
    <hyperlink ref="B10" location="'Finansal Veriler - Yeni - USD'!A144" display="Net Nakit Durumu" xr:uid="{F3EBC187-7D7B-4F07-9536-DCB21789F4D6}"/>
    <hyperlink ref="A44" location="'Finansal Veriler - Yeni - USD'!A1" display="Yukarı" xr:uid="{A07EB3AF-E7C2-4AED-9BF5-FCB0E83B26AF}"/>
    <hyperlink ref="A66" location="'Finansal Veriler - Yeni - USD'!A1" display="Yukarı" xr:uid="{83D0201B-8A2F-4B6F-B50A-4463483D0E21}"/>
    <hyperlink ref="A103" location="'Finansal Veriler - Yeni - USD'!A1" display="Yukarı" xr:uid="{5BDC89F3-5A0F-49D4-9BFA-723E1BC4D944}"/>
    <hyperlink ref="A144" location="'Finansal Veriler - Yeni - USD'!A1" display="Yukarı" xr:uid="{16649B90-15FF-44E4-B254-16B0798ACCC0}"/>
    <hyperlink ref="A134" location="'Finansal Veriler - Yeni - USD'!A1" display="Yukarı" xr:uid="{E12EB072-52CF-4EA9-B342-2AE105EE03A0}"/>
    <hyperlink ref="A118" location="'Finansal Veriler - Yeni - USD'!A1" display="Yukarı" xr:uid="{32E0FA34-FA5E-41A3-817C-2D30F736885D}"/>
    <hyperlink ref="A81" location="'Finansal Veriler - Yeni - USD'!A1" display="Yukarı" xr:uid="{C9387B6F-DBE9-4222-A28A-38D1E523924C}"/>
    <hyperlink ref="B6" location="'Finansal Veriler - Yeni - USD'!A81" display="Konsolide FAVÖK ve Net Kar Marjları Dağılımı (Kümülatif)" xr:uid="{A5954438-CAC6-404D-B323-B1A4357FA842}"/>
    <hyperlink ref="B8" location="'Finansal Veriler - Yeni - USD'!A118" display="Konsolide FAVÖK ve Net Kar Marjları Dağılımı (Çeyreklik)" xr:uid="{C4329E7C-901C-4B7D-AB43-A94D88DC507D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V194"/>
  <sheetViews>
    <sheetView topLeftCell="A10" zoomScale="80" zoomScaleNormal="80" workbookViewId="0">
      <pane xSplit="2" topLeftCell="AF1" activePane="topRight" state="frozen"/>
      <selection pane="topRight" activeCell="B42" sqref="B42"/>
    </sheetView>
  </sheetViews>
  <sheetFormatPr defaultColWidth="9.109375" defaultRowHeight="13.2" x14ac:dyDescent="0.25"/>
  <cols>
    <col min="1" max="1" width="6.6640625" style="66" customWidth="1"/>
    <col min="2" max="2" width="65.5546875" style="1" customWidth="1"/>
    <col min="3" max="32" width="9.109375" style="1"/>
    <col min="33" max="33" width="9.109375" style="1" customWidth="1"/>
    <col min="34" max="16384" width="9.109375" style="1"/>
  </cols>
  <sheetData>
    <row r="2" spans="1:48" s="127" customFormat="1" ht="24" customHeight="1" x14ac:dyDescent="0.3">
      <c r="A2" s="126"/>
      <c r="B2" s="125" t="s">
        <v>164</v>
      </c>
      <c r="C2" s="128"/>
    </row>
    <row r="3" spans="1:48" ht="15" customHeight="1" x14ac:dyDescent="0.25">
      <c r="A3" s="103" t="s">
        <v>215</v>
      </c>
      <c r="B3" s="65" t="s">
        <v>150</v>
      </c>
    </row>
    <row r="4" spans="1:48" ht="15" customHeight="1" x14ac:dyDescent="0.25">
      <c r="A4" s="103" t="s">
        <v>215</v>
      </c>
      <c r="B4" s="65" t="s">
        <v>151</v>
      </c>
    </row>
    <row r="5" spans="1:48" ht="15" customHeight="1" x14ac:dyDescent="0.25">
      <c r="A5" s="103" t="s">
        <v>215</v>
      </c>
      <c r="B5" s="65" t="s">
        <v>152</v>
      </c>
    </row>
    <row r="6" spans="1:48" ht="15" customHeight="1" x14ac:dyDescent="0.25">
      <c r="A6" s="103" t="s">
        <v>215</v>
      </c>
      <c r="B6" s="65" t="s">
        <v>153</v>
      </c>
    </row>
    <row r="7" spans="1:48" ht="15" customHeight="1" x14ac:dyDescent="0.25">
      <c r="A7" s="103" t="s">
        <v>215</v>
      </c>
      <c r="B7" s="65" t="s">
        <v>112</v>
      </c>
    </row>
    <row r="8" spans="1:48" ht="15" customHeight="1" x14ac:dyDescent="0.25">
      <c r="A8" s="103" t="s">
        <v>215</v>
      </c>
      <c r="B8" s="65" t="s">
        <v>155</v>
      </c>
    </row>
    <row r="9" spans="1:48" ht="15" customHeight="1" x14ac:dyDescent="0.25">
      <c r="A9" s="103" t="s">
        <v>215</v>
      </c>
      <c r="B9" s="65" t="s">
        <v>124</v>
      </c>
    </row>
    <row r="10" spans="1:48" ht="15" customHeight="1" x14ac:dyDescent="0.25">
      <c r="A10" s="103" t="s">
        <v>215</v>
      </c>
      <c r="B10" s="65" t="s">
        <v>161</v>
      </c>
    </row>
    <row r="11" spans="1:48" ht="15" customHeight="1" x14ac:dyDescent="0.25">
      <c r="A11" s="103" t="s">
        <v>215</v>
      </c>
      <c r="B11" s="65" t="s">
        <v>166</v>
      </c>
    </row>
    <row r="12" spans="1:48" ht="15" customHeight="1" x14ac:dyDescent="0.25">
      <c r="A12" s="103" t="s">
        <v>215</v>
      </c>
      <c r="B12" s="65" t="s">
        <v>139</v>
      </c>
    </row>
    <row r="14" spans="1:48" ht="20.100000000000001" customHeight="1" x14ac:dyDescent="0.25">
      <c r="B14" s="36" t="s">
        <v>150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x14ac:dyDescent="0.25">
      <c r="B15" s="35" t="s">
        <v>65</v>
      </c>
      <c r="C15" s="39" t="s">
        <v>99</v>
      </c>
      <c r="D15" s="39">
        <v>2008</v>
      </c>
      <c r="E15" s="39" t="s">
        <v>100</v>
      </c>
      <c r="F15" s="39" t="s">
        <v>101</v>
      </c>
      <c r="G15" s="39" t="s">
        <v>102</v>
      </c>
      <c r="H15" s="39">
        <v>2009</v>
      </c>
      <c r="I15" s="39" t="s">
        <v>103</v>
      </c>
      <c r="J15" s="39" t="s">
        <v>104</v>
      </c>
      <c r="K15" s="39" t="s">
        <v>105</v>
      </c>
      <c r="L15" s="39">
        <v>2010</v>
      </c>
      <c r="M15" s="39" t="s">
        <v>106</v>
      </c>
      <c r="N15" s="39" t="s">
        <v>107</v>
      </c>
      <c r="O15" s="39" t="s">
        <v>108</v>
      </c>
      <c r="P15" s="39">
        <v>2011</v>
      </c>
      <c r="Q15" s="39" t="s">
        <v>96</v>
      </c>
      <c r="R15" s="39" t="s">
        <v>97</v>
      </c>
      <c r="S15" s="39" t="s">
        <v>98</v>
      </c>
      <c r="T15" s="39">
        <v>2012</v>
      </c>
      <c r="U15" s="39" t="s">
        <v>93</v>
      </c>
      <c r="V15" s="39" t="s">
        <v>94</v>
      </c>
      <c r="W15" s="39" t="s">
        <v>95</v>
      </c>
      <c r="X15" s="39">
        <v>2013</v>
      </c>
      <c r="Y15" s="39" t="s">
        <v>90</v>
      </c>
      <c r="Z15" s="39" t="s">
        <v>91</v>
      </c>
      <c r="AA15" s="39" t="s">
        <v>92</v>
      </c>
      <c r="AB15" s="39">
        <v>2014</v>
      </c>
      <c r="AC15" s="39" t="s">
        <v>87</v>
      </c>
      <c r="AD15" s="39" t="s">
        <v>88</v>
      </c>
      <c r="AE15" s="39" t="s">
        <v>89</v>
      </c>
      <c r="AF15" s="39">
        <v>2015</v>
      </c>
      <c r="AG15" s="39" t="s">
        <v>84</v>
      </c>
      <c r="AH15" s="39" t="s">
        <v>85</v>
      </c>
      <c r="AI15" s="39" t="s">
        <v>86</v>
      </c>
      <c r="AJ15" s="39">
        <v>2016</v>
      </c>
      <c r="AK15" s="39" t="s">
        <v>83</v>
      </c>
      <c r="AL15" s="39" t="s">
        <v>82</v>
      </c>
      <c r="AM15" s="39" t="s">
        <v>81</v>
      </c>
      <c r="AN15" s="39">
        <v>2017</v>
      </c>
      <c r="AO15" s="39" t="s">
        <v>172</v>
      </c>
      <c r="AP15" s="39" t="s">
        <v>175</v>
      </c>
      <c r="AQ15" s="39" t="s">
        <v>177</v>
      </c>
      <c r="AR15" s="39">
        <v>2018</v>
      </c>
      <c r="AS15" s="39" t="s">
        <v>188</v>
      </c>
      <c r="AT15" s="39" t="s">
        <v>190</v>
      </c>
      <c r="AU15" s="39" t="s">
        <v>193</v>
      </c>
      <c r="AV15" s="39">
        <v>2019</v>
      </c>
    </row>
    <row r="16" spans="1:48" ht="15" customHeight="1" x14ac:dyDescent="0.25">
      <c r="B16" s="10" t="s">
        <v>66</v>
      </c>
      <c r="C16" s="11">
        <v>1778.875</v>
      </c>
      <c r="D16" s="45">
        <v>2517.8910000000001</v>
      </c>
      <c r="E16" s="45">
        <v>643.98500000000001</v>
      </c>
      <c r="F16" s="45">
        <v>1203.22</v>
      </c>
      <c r="G16" s="45">
        <v>1801.9559999999999</v>
      </c>
      <c r="H16" s="45">
        <v>2350.0259999999998</v>
      </c>
      <c r="I16" s="45">
        <v>602.01300000000003</v>
      </c>
      <c r="J16" s="45">
        <v>1103.3440000000001</v>
      </c>
      <c r="K16" s="45">
        <v>1638.585</v>
      </c>
      <c r="L16" s="45">
        <v>2261.7040000000002</v>
      </c>
      <c r="M16" s="45">
        <v>689.84699999999998</v>
      </c>
      <c r="N16" s="45">
        <v>1393.2470000000001</v>
      </c>
      <c r="O16" s="45">
        <v>2188.2759999999998</v>
      </c>
      <c r="P16" s="45">
        <v>3211.241</v>
      </c>
      <c r="Q16" s="45">
        <v>1000.179</v>
      </c>
      <c r="R16" s="45">
        <v>1970.548</v>
      </c>
      <c r="S16" s="45">
        <v>2923.828</v>
      </c>
      <c r="T16" s="45">
        <v>3948.7370000000001</v>
      </c>
      <c r="U16" s="45">
        <v>1058.53</v>
      </c>
      <c r="V16" s="45">
        <v>1964.43</v>
      </c>
      <c r="W16" s="45">
        <v>2870.5120000000002</v>
      </c>
      <c r="X16" s="45">
        <v>3846.0360000000001</v>
      </c>
      <c r="Y16" s="45">
        <v>1148.5540000000001</v>
      </c>
      <c r="Z16" s="45">
        <v>2142.1309999999999</v>
      </c>
      <c r="AA16" s="45">
        <v>3196.8690000000001</v>
      </c>
      <c r="AB16" s="45">
        <v>4474.7550000000001</v>
      </c>
      <c r="AC16" s="45">
        <v>1091.192</v>
      </c>
      <c r="AD16" s="45">
        <v>2040.182</v>
      </c>
      <c r="AE16" s="45">
        <v>2846.6350000000002</v>
      </c>
      <c r="AF16" s="45">
        <v>3888.172</v>
      </c>
      <c r="AG16" s="45">
        <v>1373.471</v>
      </c>
      <c r="AH16" s="45">
        <v>2438.2890000000002</v>
      </c>
      <c r="AI16" s="45">
        <v>3413.893</v>
      </c>
      <c r="AJ16" s="45">
        <v>4737.3969999999999</v>
      </c>
      <c r="AK16" s="45">
        <v>1636.9749999999999</v>
      </c>
      <c r="AL16" s="45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3">
        <v>14603.353999999999</v>
      </c>
    </row>
    <row r="17" spans="1:48" ht="15" customHeight="1" x14ac:dyDescent="0.25">
      <c r="B17" s="42" t="s">
        <v>67</v>
      </c>
      <c r="C17" s="43">
        <v>366.29599999999999</v>
      </c>
      <c r="D17" s="43">
        <v>315.99</v>
      </c>
      <c r="E17" s="43">
        <v>114.462</v>
      </c>
      <c r="F17" s="43">
        <v>125.795</v>
      </c>
      <c r="G17" s="43">
        <v>203.96600000000001</v>
      </c>
      <c r="H17" s="43">
        <v>280.39699999999999</v>
      </c>
      <c r="I17" s="43">
        <v>136.45699999999999</v>
      </c>
      <c r="J17" s="43">
        <v>226.55600000000001</v>
      </c>
      <c r="K17" s="43">
        <v>298.916</v>
      </c>
      <c r="L17" s="43">
        <v>402.37799999999999</v>
      </c>
      <c r="M17" s="43">
        <v>130.01900000000001</v>
      </c>
      <c r="N17" s="43">
        <v>257.923</v>
      </c>
      <c r="O17" s="43">
        <v>373.50799999999998</v>
      </c>
      <c r="P17" s="43">
        <v>501.459</v>
      </c>
      <c r="Q17" s="43">
        <v>130.18799999999999</v>
      </c>
      <c r="R17" s="43">
        <v>250.20400000000001</v>
      </c>
      <c r="S17" s="43">
        <v>335.77300000000002</v>
      </c>
      <c r="T17" s="43">
        <v>385.262</v>
      </c>
      <c r="U17" s="43">
        <v>159.095</v>
      </c>
      <c r="V17" s="43">
        <v>88.876999999999995</v>
      </c>
      <c r="W17" s="43">
        <v>144.20699999999999</v>
      </c>
      <c r="X17" s="43">
        <v>127.232</v>
      </c>
      <c r="Y17" s="43">
        <v>215.55099999999999</v>
      </c>
      <c r="Z17" s="43">
        <v>320.298</v>
      </c>
      <c r="AA17" s="43">
        <v>426.661</v>
      </c>
      <c r="AB17" s="43">
        <v>452.42399999999998</v>
      </c>
      <c r="AC17" s="43">
        <v>115.236</v>
      </c>
      <c r="AD17" s="43">
        <v>212.45599999999999</v>
      </c>
      <c r="AE17" s="43">
        <v>322.12599999999998</v>
      </c>
      <c r="AF17" s="43">
        <v>408.87400000000002</v>
      </c>
      <c r="AG17" s="43">
        <v>223.19300000000001</v>
      </c>
      <c r="AH17" s="43">
        <v>372.995</v>
      </c>
      <c r="AI17" s="43">
        <v>445.36</v>
      </c>
      <c r="AJ17" s="43">
        <v>653.54499999999996</v>
      </c>
      <c r="AK17" s="43">
        <v>265.68299999999999</v>
      </c>
      <c r="AL17" s="43">
        <v>498.83600000000001</v>
      </c>
      <c r="AM17" s="43">
        <v>732.50300000000004</v>
      </c>
      <c r="AN17" s="43">
        <v>1028.4349999999999</v>
      </c>
      <c r="AO17" s="43">
        <v>340.9</v>
      </c>
      <c r="AP17" s="43">
        <v>733.74699999999996</v>
      </c>
      <c r="AQ17" s="43">
        <v>1217.3970000000018</v>
      </c>
      <c r="AR17" s="43">
        <v>1803.3420000000001</v>
      </c>
      <c r="AS17" s="43">
        <v>1063.692</v>
      </c>
      <c r="AT17" s="43">
        <v>1632.9970000000001</v>
      </c>
      <c r="AU17" s="43">
        <v>2147.5610000000001</v>
      </c>
      <c r="AV17" s="4">
        <v>2401.5619999999999</v>
      </c>
    </row>
    <row r="18" spans="1:48" ht="15" customHeight="1" x14ac:dyDescent="0.25">
      <c r="B18" s="25" t="s">
        <v>68</v>
      </c>
      <c r="C18" s="46">
        <f t="shared" ref="C18:AL18" si="0">+C17/C16</f>
        <v>0.20591441219872109</v>
      </c>
      <c r="D18" s="46">
        <f t="shared" si="0"/>
        <v>0.12549788692203118</v>
      </c>
      <c r="E18" s="46">
        <f t="shared" si="0"/>
        <v>0.17774016475539026</v>
      </c>
      <c r="F18" s="46">
        <f t="shared" si="0"/>
        <v>0.10454862784860623</v>
      </c>
      <c r="G18" s="46">
        <f t="shared" si="0"/>
        <v>0.11319144307630154</v>
      </c>
      <c r="H18" s="46">
        <f t="shared" si="0"/>
        <v>0.11931655224240073</v>
      </c>
      <c r="I18" s="46">
        <f t="shared" si="0"/>
        <v>0.22666786265412872</v>
      </c>
      <c r="J18" s="46">
        <f t="shared" si="0"/>
        <v>0.20533577923113736</v>
      </c>
      <c r="K18" s="46">
        <f t="shared" si="0"/>
        <v>0.18242324932792622</v>
      </c>
      <c r="L18" s="46">
        <f t="shared" si="0"/>
        <v>0.17790922242698423</v>
      </c>
      <c r="M18" s="46">
        <f t="shared" si="0"/>
        <v>0.1884751256438022</v>
      </c>
      <c r="N18" s="46">
        <f t="shared" si="0"/>
        <v>0.18512367153849962</v>
      </c>
      <c r="O18" s="46">
        <f t="shared" si="0"/>
        <v>0.17068596465893698</v>
      </c>
      <c r="P18" s="46">
        <f t="shared" si="0"/>
        <v>0.1561573858829032</v>
      </c>
      <c r="Q18" s="46">
        <f t="shared" si="0"/>
        <v>0.13016470051860715</v>
      </c>
      <c r="R18" s="46">
        <f t="shared" si="0"/>
        <v>0.12697178652841748</v>
      </c>
      <c r="S18" s="46">
        <f t="shared" si="0"/>
        <v>0.11484020263845891</v>
      </c>
      <c r="T18" s="46">
        <f t="shared" si="0"/>
        <v>9.756587992565724E-2</v>
      </c>
      <c r="U18" s="46">
        <f t="shared" si="0"/>
        <v>0.15029805484964998</v>
      </c>
      <c r="V18" s="46">
        <f t="shared" si="0"/>
        <v>4.5243149412297713E-2</v>
      </c>
      <c r="W18" s="46">
        <f t="shared" si="0"/>
        <v>5.0237379254990049E-2</v>
      </c>
      <c r="X18" s="46">
        <f t="shared" si="0"/>
        <v>3.3081333612061871E-2</v>
      </c>
      <c r="Y18" s="46">
        <f t="shared" si="0"/>
        <v>0.1876716288480994</v>
      </c>
      <c r="Z18" s="46">
        <f t="shared" si="0"/>
        <v>0.14952306838377299</v>
      </c>
      <c r="AA18" s="46">
        <f t="shared" si="0"/>
        <v>0.13346214686932745</v>
      </c>
      <c r="AB18" s="46">
        <f t="shared" si="0"/>
        <v>0.10110587060073679</v>
      </c>
      <c r="AC18" s="46">
        <f t="shared" si="0"/>
        <v>0.10560561294437643</v>
      </c>
      <c r="AD18" s="46">
        <f t="shared" si="0"/>
        <v>0.10413580749168456</v>
      </c>
      <c r="AE18" s="46">
        <f t="shared" si="0"/>
        <v>0.1131602752021246</v>
      </c>
      <c r="AF18" s="46">
        <f t="shared" si="0"/>
        <v>0.10515841377387626</v>
      </c>
      <c r="AG18" s="46">
        <f t="shared" si="0"/>
        <v>0.16250288502633112</v>
      </c>
      <c r="AH18" s="46">
        <f t="shared" si="0"/>
        <v>0.15297407321281439</v>
      </c>
      <c r="AI18" s="46">
        <f t="shared" si="0"/>
        <v>0.13045517243803481</v>
      </c>
      <c r="AJ18" s="46">
        <f t="shared" si="0"/>
        <v>0.13795445051364705</v>
      </c>
      <c r="AK18" s="46">
        <f t="shared" si="0"/>
        <v>0.16230119580323463</v>
      </c>
      <c r="AL18" s="46">
        <f t="shared" si="0"/>
        <v>0.1491601971954046</v>
      </c>
      <c r="AM18" s="46">
        <f t="shared" ref="AM18:AP18" si="1">+AM17/AM16</f>
        <v>0.14446631207317281</v>
      </c>
      <c r="AN18" s="46">
        <f t="shared" si="1"/>
        <v>0.13736032203515017</v>
      </c>
      <c r="AO18" s="46">
        <f t="shared" si="1"/>
        <v>0.15044602015332342</v>
      </c>
      <c r="AP18" s="46">
        <f t="shared" si="1"/>
        <v>0.14380124440765207</v>
      </c>
      <c r="AQ18" s="46">
        <v>0.14564828902319596</v>
      </c>
      <c r="AR18" s="46">
        <v>0.14845777671196034</v>
      </c>
      <c r="AS18" s="46">
        <v>0.23186857789835721</v>
      </c>
      <c r="AT18" s="46">
        <v>0.19660727221898022</v>
      </c>
      <c r="AU18" s="46">
        <v>0.19010322821078332</v>
      </c>
      <c r="AV18" s="89">
        <v>0.16445276886391988</v>
      </c>
    </row>
    <row r="19" spans="1:48" ht="15" customHeight="1" x14ac:dyDescent="0.25">
      <c r="B19" s="42" t="s">
        <v>69</v>
      </c>
      <c r="C19" s="47">
        <v>263.726</v>
      </c>
      <c r="D19" s="47">
        <v>170.02699999999999</v>
      </c>
      <c r="E19" s="47">
        <v>77.173000000000002</v>
      </c>
      <c r="F19" s="47">
        <v>55.509</v>
      </c>
      <c r="G19" s="47">
        <v>96.073999999999998</v>
      </c>
      <c r="H19" s="47">
        <v>125.45399999999999</v>
      </c>
      <c r="I19" s="47">
        <v>87.165000000000006</v>
      </c>
      <c r="J19" s="47">
        <v>141.60300000000001</v>
      </c>
      <c r="K19" s="47">
        <v>173.40899999999999</v>
      </c>
      <c r="L19" s="47">
        <v>225.928</v>
      </c>
      <c r="M19" s="47">
        <v>79.144000000000005</v>
      </c>
      <c r="N19" s="47">
        <v>160.33500000000001</v>
      </c>
      <c r="O19" s="47">
        <v>236.86799999999999</v>
      </c>
      <c r="P19" s="47">
        <v>302.30599999999998</v>
      </c>
      <c r="Q19" s="47">
        <v>102.78100000000001</v>
      </c>
      <c r="R19" s="47">
        <v>171.72900000000001</v>
      </c>
      <c r="S19" s="47">
        <v>214.97</v>
      </c>
      <c r="T19" s="47">
        <v>200.04599999999999</v>
      </c>
      <c r="U19" s="47">
        <v>107.09399999999999</v>
      </c>
      <c r="V19" s="47">
        <v>-43.863999999999997</v>
      </c>
      <c r="W19" s="47">
        <v>-40.648000000000003</v>
      </c>
      <c r="X19" s="47">
        <v>-123.547</v>
      </c>
      <c r="Y19" s="47">
        <v>139.90700000000001</v>
      </c>
      <c r="Z19" s="47">
        <v>203.13499999999999</v>
      </c>
      <c r="AA19" s="47">
        <v>259.28300000000002</v>
      </c>
      <c r="AB19" s="47">
        <v>24.515000000000001</v>
      </c>
      <c r="AC19" s="47">
        <v>26.718</v>
      </c>
      <c r="AD19" s="47">
        <v>57.488999999999997</v>
      </c>
      <c r="AE19" s="47">
        <v>70.027000000000001</v>
      </c>
      <c r="AF19" s="47">
        <v>116.523</v>
      </c>
      <c r="AG19" s="47">
        <v>165.78</v>
      </c>
      <c r="AH19" s="47">
        <v>249.91499999999999</v>
      </c>
      <c r="AI19" s="47">
        <v>252.37200000000001</v>
      </c>
      <c r="AJ19" s="47">
        <v>313.29300000000001</v>
      </c>
      <c r="AK19" s="47">
        <v>163.66999999999999</v>
      </c>
      <c r="AL19" s="47">
        <v>433.404</v>
      </c>
      <c r="AM19" s="47">
        <v>566.32799999999997</v>
      </c>
      <c r="AN19" s="47">
        <v>778.197</v>
      </c>
      <c r="AO19" s="47">
        <v>211.4</v>
      </c>
      <c r="AP19" s="47">
        <v>384</v>
      </c>
      <c r="AQ19" s="47">
        <v>493.19100000000179</v>
      </c>
      <c r="AR19" s="43">
        <v>1112.0619999999999</v>
      </c>
      <c r="AS19" s="47">
        <v>851.38400000000001</v>
      </c>
      <c r="AT19" s="43">
        <v>1283.489</v>
      </c>
      <c r="AU19" s="43">
        <v>1606.614</v>
      </c>
      <c r="AV19" s="4">
        <v>1603.3910000000001</v>
      </c>
    </row>
    <row r="20" spans="1:48" ht="15" customHeight="1" x14ac:dyDescent="0.25">
      <c r="B20" s="25" t="s">
        <v>68</v>
      </c>
      <c r="C20" s="46">
        <f t="shared" ref="C20:AL20" si="2">+C19/C16</f>
        <v>0.1482543742533905</v>
      </c>
      <c r="D20" s="46">
        <f t="shared" si="2"/>
        <v>6.752754587073069E-2</v>
      </c>
      <c r="E20" s="46">
        <f t="shared" si="2"/>
        <v>0.11983664215781424</v>
      </c>
      <c r="F20" s="46">
        <f t="shared" si="2"/>
        <v>4.6133707883845014E-2</v>
      </c>
      <c r="G20" s="46">
        <f t="shared" si="2"/>
        <v>5.3316507173316111E-2</v>
      </c>
      <c r="H20" s="46">
        <f t="shared" si="2"/>
        <v>5.3384090218576305E-2</v>
      </c>
      <c r="I20" s="46">
        <f t="shared" si="2"/>
        <v>0.14478923212621655</v>
      </c>
      <c r="J20" s="46">
        <f t="shared" si="2"/>
        <v>0.12833984686552879</v>
      </c>
      <c r="K20" s="46">
        <f t="shared" si="2"/>
        <v>0.10582850447184612</v>
      </c>
      <c r="L20" s="46">
        <f t="shared" si="2"/>
        <v>9.9892824171509617E-2</v>
      </c>
      <c r="M20" s="46">
        <f t="shared" si="2"/>
        <v>0.11472688871590368</v>
      </c>
      <c r="N20" s="46">
        <f t="shared" si="2"/>
        <v>0.11508009706821547</v>
      </c>
      <c r="O20" s="46">
        <f t="shared" si="2"/>
        <v>0.1082441154589275</v>
      </c>
      <c r="P20" s="46">
        <f t="shared" si="2"/>
        <v>9.4139929080377327E-2</v>
      </c>
      <c r="Q20" s="46">
        <f t="shared" si="2"/>
        <v>0.10276260549361665</v>
      </c>
      <c r="R20" s="46">
        <f t="shared" si="2"/>
        <v>8.7147839078266565E-2</v>
      </c>
      <c r="S20" s="46">
        <f t="shared" si="2"/>
        <v>7.352347675718271E-2</v>
      </c>
      <c r="T20" s="46">
        <f t="shared" si="2"/>
        <v>5.066075557830263E-2</v>
      </c>
      <c r="U20" s="46">
        <f t="shared" si="2"/>
        <v>0.10117238056550121</v>
      </c>
      <c r="V20" s="46">
        <f t="shared" si="2"/>
        <v>-2.2329123460749428E-2</v>
      </c>
      <c r="W20" s="46">
        <f t="shared" si="2"/>
        <v>-1.4160540001226263E-2</v>
      </c>
      <c r="X20" s="46">
        <f t="shared" si="2"/>
        <v>-3.2123204254978374E-2</v>
      </c>
      <c r="Y20" s="46">
        <f t="shared" si="2"/>
        <v>0.12181142549675505</v>
      </c>
      <c r="Z20" s="46">
        <f t="shared" si="2"/>
        <v>9.482846754003374E-2</v>
      </c>
      <c r="AA20" s="46">
        <f t="shared" si="2"/>
        <v>8.1105293961060032E-2</v>
      </c>
      <c r="AB20" s="46">
        <f t="shared" si="2"/>
        <v>5.478512231395909E-3</v>
      </c>
      <c r="AC20" s="46">
        <f t="shared" si="2"/>
        <v>2.4485150184385514E-2</v>
      </c>
      <c r="AD20" s="46">
        <f t="shared" si="2"/>
        <v>2.8178368400466232E-2</v>
      </c>
      <c r="AE20" s="46">
        <f t="shared" si="2"/>
        <v>2.4599922364475949E-2</v>
      </c>
      <c r="AF20" s="46">
        <f t="shared" si="2"/>
        <v>2.9968581636820594E-2</v>
      </c>
      <c r="AG20" s="46">
        <f t="shared" si="2"/>
        <v>0.12070149278725215</v>
      </c>
      <c r="AH20" s="46">
        <f t="shared" si="2"/>
        <v>0.10249605358511643</v>
      </c>
      <c r="AI20" s="46">
        <f t="shared" si="2"/>
        <v>7.3924988275848133E-2</v>
      </c>
      <c r="AJ20" s="46">
        <f t="shared" si="2"/>
        <v>6.6131886350246777E-2</v>
      </c>
      <c r="AK20" s="46">
        <f t="shared" si="2"/>
        <v>9.9983200720841797E-2</v>
      </c>
      <c r="AL20" s="46">
        <f t="shared" si="2"/>
        <v>0.12959494925241388</v>
      </c>
      <c r="AM20" s="46">
        <f t="shared" ref="AM20:AP20" si="3">+AM19/AM16</f>
        <v>0.11169280888102276</v>
      </c>
      <c r="AN20" s="46">
        <f t="shared" si="3"/>
        <v>0.10393791588849831</v>
      </c>
      <c r="AO20" s="46">
        <f t="shared" si="3"/>
        <v>9.3295067939021925E-2</v>
      </c>
      <c r="AP20" s="46">
        <f t="shared" si="3"/>
        <v>7.5257108857056179E-2</v>
      </c>
      <c r="AQ20" s="46">
        <v>5.9004930447207608E-2</v>
      </c>
      <c r="AR20" s="46">
        <v>9.1549052861773325E-2</v>
      </c>
      <c r="AS20" s="46">
        <v>0.18558868293210343</v>
      </c>
      <c r="AT20" s="46">
        <v>0.15452770042631231</v>
      </c>
      <c r="AU20" s="46">
        <v>0.14221831551636457</v>
      </c>
      <c r="AV20" s="89">
        <v>0.10979607835295919</v>
      </c>
    </row>
    <row r="21" spans="1:48" ht="15" customHeight="1" x14ac:dyDescent="0.25">
      <c r="B21" s="42" t="s">
        <v>70</v>
      </c>
      <c r="C21" s="43">
        <v>311</v>
      </c>
      <c r="D21" s="43">
        <v>247</v>
      </c>
      <c r="E21" s="43">
        <v>93</v>
      </c>
      <c r="F21" s="43">
        <v>90</v>
      </c>
      <c r="G21" s="43">
        <v>152</v>
      </c>
      <c r="H21" s="43">
        <v>202</v>
      </c>
      <c r="I21" s="43">
        <v>108</v>
      </c>
      <c r="J21" s="43">
        <v>176</v>
      </c>
      <c r="K21" s="43">
        <v>223</v>
      </c>
      <c r="L21" s="43">
        <v>299</v>
      </c>
      <c r="M21" s="43">
        <v>94</v>
      </c>
      <c r="N21" s="43">
        <v>189</v>
      </c>
      <c r="O21" s="43">
        <v>282</v>
      </c>
      <c r="P21" s="43">
        <v>362</v>
      </c>
      <c r="Q21" s="43">
        <v>97</v>
      </c>
      <c r="R21" s="43">
        <v>194</v>
      </c>
      <c r="S21" s="43">
        <v>262</v>
      </c>
      <c r="T21" s="43">
        <v>281</v>
      </c>
      <c r="U21" s="43">
        <v>121</v>
      </c>
      <c r="V21" s="43">
        <v>20</v>
      </c>
      <c r="W21" s="43">
        <v>59</v>
      </c>
      <c r="X21" s="43">
        <v>10</v>
      </c>
      <c r="Y21" s="43">
        <v>169</v>
      </c>
      <c r="Z21" s="43">
        <v>251</v>
      </c>
      <c r="AA21" s="43">
        <v>335</v>
      </c>
      <c r="AB21" s="43">
        <v>188</v>
      </c>
      <c r="AC21" s="43">
        <v>74</v>
      </c>
      <c r="AD21" s="43">
        <v>157</v>
      </c>
      <c r="AE21" s="43">
        <v>247</v>
      </c>
      <c r="AF21" s="43">
        <v>294</v>
      </c>
      <c r="AG21" s="43">
        <v>187</v>
      </c>
      <c r="AH21" s="43">
        <v>299</v>
      </c>
      <c r="AI21" s="43">
        <v>349</v>
      </c>
      <c r="AJ21" s="43">
        <v>529</v>
      </c>
      <c r="AK21" s="43">
        <v>223</v>
      </c>
      <c r="AL21" s="43">
        <v>485</v>
      </c>
      <c r="AM21" s="43">
        <v>683</v>
      </c>
      <c r="AN21" s="43">
        <v>1005</v>
      </c>
      <c r="AO21" s="43">
        <v>295.5</v>
      </c>
      <c r="AP21" s="43">
        <v>593</v>
      </c>
      <c r="AQ21" s="43">
        <v>981.93399999999997</v>
      </c>
      <c r="AR21" s="43">
        <v>1501.1880000000001</v>
      </c>
      <c r="AS21" s="43">
        <v>942.63599999999997</v>
      </c>
      <c r="AT21" s="43">
        <v>1397.3579999999999</v>
      </c>
      <c r="AU21" s="43">
        <v>1799.191</v>
      </c>
      <c r="AV21" s="4">
        <v>1921.048</v>
      </c>
    </row>
    <row r="22" spans="1:48" ht="15" customHeight="1" x14ac:dyDescent="0.25">
      <c r="B22" s="25" t="s">
        <v>68</v>
      </c>
      <c r="C22" s="46">
        <f t="shared" ref="C22:AL22" si="4">+C21/C16</f>
        <v>0.17482959735788067</v>
      </c>
      <c r="D22" s="46">
        <f t="shared" si="4"/>
        <v>9.8097971675501439E-2</v>
      </c>
      <c r="E22" s="46">
        <f t="shared" si="4"/>
        <v>0.14441330155205478</v>
      </c>
      <c r="F22" s="46">
        <f t="shared" si="4"/>
        <v>7.4799288575655321E-2</v>
      </c>
      <c r="G22" s="46">
        <f t="shared" si="4"/>
        <v>8.4352781088994411E-2</v>
      </c>
      <c r="H22" s="46">
        <f t="shared" si="4"/>
        <v>8.5956495800472002E-2</v>
      </c>
      <c r="I22" s="46">
        <f t="shared" si="4"/>
        <v>0.17939811930971589</v>
      </c>
      <c r="J22" s="46">
        <f t="shared" si="4"/>
        <v>0.1595150741745095</v>
      </c>
      <c r="K22" s="46">
        <f t="shared" si="4"/>
        <v>0.13609303148753346</v>
      </c>
      <c r="L22" s="46">
        <f t="shared" si="4"/>
        <v>0.13220120758507745</v>
      </c>
      <c r="M22" s="46">
        <f t="shared" si="4"/>
        <v>0.13626209869724737</v>
      </c>
      <c r="N22" s="46">
        <f t="shared" si="4"/>
        <v>0.13565433839082372</v>
      </c>
      <c r="O22" s="46">
        <f t="shared" si="4"/>
        <v>0.1288685705093873</v>
      </c>
      <c r="P22" s="46">
        <f t="shared" si="4"/>
        <v>0.11272900414512645</v>
      </c>
      <c r="Q22" s="46">
        <f t="shared" si="4"/>
        <v>9.6982640107420776E-2</v>
      </c>
      <c r="R22" s="46">
        <f t="shared" si="4"/>
        <v>9.8449771332644528E-2</v>
      </c>
      <c r="S22" s="46">
        <f t="shared" si="4"/>
        <v>8.9608554265161969E-2</v>
      </c>
      <c r="T22" s="46">
        <f t="shared" si="4"/>
        <v>7.1161994328819561E-2</v>
      </c>
      <c r="U22" s="46">
        <f t="shared" si="4"/>
        <v>0.11430946690221346</v>
      </c>
      <c r="V22" s="46">
        <f t="shared" si="4"/>
        <v>1.0181070335924415E-2</v>
      </c>
      <c r="W22" s="46">
        <f t="shared" si="4"/>
        <v>2.0553824544192811E-2</v>
      </c>
      <c r="X22" s="46">
        <f t="shared" si="4"/>
        <v>2.6000796664409796E-3</v>
      </c>
      <c r="Y22" s="46">
        <f t="shared" si="4"/>
        <v>0.14714153622729101</v>
      </c>
      <c r="Z22" s="46">
        <f t="shared" si="4"/>
        <v>0.11717303937060806</v>
      </c>
      <c r="AA22" s="46">
        <f t="shared" si="4"/>
        <v>0.1047900304954629</v>
      </c>
      <c r="AB22" s="46">
        <f t="shared" si="4"/>
        <v>4.2013473363346147E-2</v>
      </c>
      <c r="AC22" s="46">
        <f t="shared" si="4"/>
        <v>6.7815746449754036E-2</v>
      </c>
      <c r="AD22" s="46">
        <f t="shared" si="4"/>
        <v>7.6953918817046718E-2</v>
      </c>
      <c r="AE22" s="46">
        <f t="shared" si="4"/>
        <v>8.6769115113107226E-2</v>
      </c>
      <c r="AF22" s="46">
        <f t="shared" si="4"/>
        <v>7.5613938889534715E-2</v>
      </c>
      <c r="AG22" s="46">
        <f t="shared" si="4"/>
        <v>0.13615140035719719</v>
      </c>
      <c r="AH22" s="46">
        <f t="shared" si="4"/>
        <v>0.12262697325870722</v>
      </c>
      <c r="AI22" s="46">
        <f t="shared" si="4"/>
        <v>0.10222933173359564</v>
      </c>
      <c r="AJ22" s="46">
        <f t="shared" si="4"/>
        <v>0.11166469687889784</v>
      </c>
      <c r="AK22" s="46">
        <f t="shared" si="4"/>
        <v>0.13622688190106752</v>
      </c>
      <c r="AL22" s="46">
        <f t="shared" si="4"/>
        <v>0.14502300483479785</v>
      </c>
      <c r="AM22" s="46">
        <f t="shared" ref="AM22:AP22" si="5">+AM21/AM16</f>
        <v>0.13470319049338642</v>
      </c>
      <c r="AN22" s="46">
        <f t="shared" si="5"/>
        <v>0.13423028547776567</v>
      </c>
      <c r="AO22" s="46">
        <f t="shared" si="5"/>
        <v>0.13041008787124397</v>
      </c>
      <c r="AP22" s="46">
        <f t="shared" si="5"/>
        <v>0.11621735820894352</v>
      </c>
      <c r="AQ22" s="46">
        <v>0.11747770614984487</v>
      </c>
      <c r="AR22" s="46">
        <v>0.12358334298578658</v>
      </c>
      <c r="AS22" s="46">
        <v>0.20548022246646194</v>
      </c>
      <c r="AT22" s="46">
        <v>0.16823713986821148</v>
      </c>
      <c r="AU22" s="46">
        <v>0.15926533275086827</v>
      </c>
      <c r="AV22" s="89">
        <v>0.13154841004333662</v>
      </c>
    </row>
    <row r="23" spans="1:48" ht="15" customHeight="1" x14ac:dyDescent="0.25">
      <c r="B23" s="41" t="s">
        <v>71</v>
      </c>
      <c r="C23" s="48">
        <v>23.878</v>
      </c>
      <c r="D23" s="48">
        <v>-36.799999999999997</v>
      </c>
      <c r="E23" s="48">
        <v>-53.152000000000001</v>
      </c>
      <c r="F23" s="48">
        <v>-35.963999999999999</v>
      </c>
      <c r="G23" s="48">
        <v>-28.603000000000002</v>
      </c>
      <c r="H23" s="48">
        <v>-27.042000000000002</v>
      </c>
      <c r="I23" s="48">
        <v>-2.8839999999999999</v>
      </c>
      <c r="J23" s="48">
        <v>-3.7709999999999999</v>
      </c>
      <c r="K23" s="48">
        <v>14.499000000000001</v>
      </c>
      <c r="L23" s="48">
        <v>14.336</v>
      </c>
      <c r="M23" s="48">
        <v>17.649999999999999</v>
      </c>
      <c r="N23" s="48">
        <v>23.193000000000001</v>
      </c>
      <c r="O23" s="48">
        <v>6.3239999999999998</v>
      </c>
      <c r="P23" s="48">
        <v>9.19</v>
      </c>
      <c r="Q23" s="48">
        <v>5.8170000000000002</v>
      </c>
      <c r="R23" s="48">
        <v>14.823</v>
      </c>
      <c r="S23" s="48">
        <v>19.064</v>
      </c>
      <c r="T23" s="48">
        <v>20.86</v>
      </c>
      <c r="U23" s="48">
        <v>10.382999999999999</v>
      </c>
      <c r="V23" s="48">
        <v>28.477</v>
      </c>
      <c r="W23" s="48">
        <v>42.317999999999998</v>
      </c>
      <c r="X23" s="48">
        <v>72.587000000000003</v>
      </c>
      <c r="Y23" s="48">
        <v>24.376000000000001</v>
      </c>
      <c r="Z23" s="48">
        <v>22.745999999999999</v>
      </c>
      <c r="AA23" s="48">
        <v>45.131</v>
      </c>
      <c r="AB23" s="48">
        <v>59.290999999999997</v>
      </c>
      <c r="AC23" s="48">
        <v>48.314</v>
      </c>
      <c r="AD23" s="48">
        <v>75.043000000000006</v>
      </c>
      <c r="AE23" s="48">
        <v>131.79</v>
      </c>
      <c r="AF23" s="48">
        <v>126.444</v>
      </c>
      <c r="AG23" s="48">
        <v>-7.085</v>
      </c>
      <c r="AH23" s="48">
        <v>11.250999999999999</v>
      </c>
      <c r="AI23" s="48">
        <v>27.291</v>
      </c>
      <c r="AJ23" s="48">
        <v>112.41</v>
      </c>
      <c r="AK23" s="48">
        <v>35.155999999999999</v>
      </c>
      <c r="AL23" s="48">
        <v>20.984000000000002</v>
      </c>
      <c r="AM23" s="48">
        <v>43.353999999999999</v>
      </c>
      <c r="AN23" s="48">
        <v>106.68199999999996</v>
      </c>
      <c r="AO23" s="48">
        <v>69.599999999999994</v>
      </c>
      <c r="AP23" s="48">
        <v>239.80700000000002</v>
      </c>
      <c r="AQ23" s="48">
        <v>655.71400000000017</v>
      </c>
      <c r="AR23" s="48">
        <v>508.024</v>
      </c>
      <c r="AS23" s="48">
        <v>109.654</v>
      </c>
      <c r="AT23" s="48">
        <v>168.08100000000002</v>
      </c>
      <c r="AU23" s="48">
        <v>167.66500000000002</v>
      </c>
      <c r="AV23" s="85">
        <v>230.91400000000004</v>
      </c>
    </row>
    <row r="24" spans="1:48" ht="15" customHeight="1" x14ac:dyDescent="0.25">
      <c r="B24" s="80" t="s">
        <v>186</v>
      </c>
      <c r="C24" s="81">
        <v>288</v>
      </c>
      <c r="D24" s="81">
        <v>133</v>
      </c>
      <c r="E24" s="81">
        <v>24</v>
      </c>
      <c r="F24" s="81">
        <v>20</v>
      </c>
      <c r="G24" s="81">
        <v>67</v>
      </c>
      <c r="H24" s="81">
        <v>98</v>
      </c>
      <c r="I24" s="81">
        <v>84</v>
      </c>
      <c r="J24" s="81">
        <v>138</v>
      </c>
      <c r="K24" s="81">
        <v>188</v>
      </c>
      <c r="L24" s="81">
        <v>240</v>
      </c>
      <c r="M24" s="81">
        <v>97</v>
      </c>
      <c r="N24" s="81">
        <v>184</v>
      </c>
      <c r="O24" s="81">
        <v>243</v>
      </c>
      <c r="P24" s="81">
        <v>311</v>
      </c>
      <c r="Q24" s="81">
        <v>112</v>
      </c>
      <c r="R24" s="81">
        <v>190</v>
      </c>
      <c r="S24" s="81">
        <v>240</v>
      </c>
      <c r="T24" s="81">
        <v>363</v>
      </c>
      <c r="U24" s="81">
        <v>172</v>
      </c>
      <c r="V24" s="81">
        <v>39</v>
      </c>
      <c r="W24" s="81">
        <v>52</v>
      </c>
      <c r="X24" s="81">
        <v>-5</v>
      </c>
      <c r="Y24" s="81">
        <v>172</v>
      </c>
      <c r="Z24" s="81">
        <v>236</v>
      </c>
      <c r="AA24" s="81">
        <v>315</v>
      </c>
      <c r="AB24" s="81">
        <v>96</v>
      </c>
      <c r="AC24" s="81">
        <v>88</v>
      </c>
      <c r="AD24" s="81">
        <v>145</v>
      </c>
      <c r="AE24" s="81">
        <v>215</v>
      </c>
      <c r="AF24" s="81">
        <v>260</v>
      </c>
      <c r="AG24" s="81">
        <v>168</v>
      </c>
      <c r="AH24" s="81">
        <v>273</v>
      </c>
      <c r="AI24" s="81">
        <v>291</v>
      </c>
      <c r="AJ24" s="81">
        <v>439</v>
      </c>
      <c r="AK24" s="81">
        <v>207</v>
      </c>
      <c r="AL24" s="81">
        <v>471</v>
      </c>
      <c r="AM24" s="81">
        <v>627</v>
      </c>
      <c r="AN24" s="81">
        <v>902</v>
      </c>
      <c r="AO24" s="81">
        <v>289.13299999999998</v>
      </c>
      <c r="AP24" s="81">
        <v>630</v>
      </c>
      <c r="AQ24" s="81">
        <v>1155.6020000000017</v>
      </c>
      <c r="AR24" s="81">
        <v>1641</v>
      </c>
      <c r="AS24" s="81">
        <v>971.05499999999995</v>
      </c>
      <c r="AT24" s="81">
        <v>1460.625</v>
      </c>
      <c r="AU24" s="81">
        <v>1793.89</v>
      </c>
      <c r="AV24" s="90">
        <v>1777.0070000000001</v>
      </c>
    </row>
    <row r="25" spans="1:48" ht="15" customHeight="1" x14ac:dyDescent="0.25">
      <c r="B25" s="41" t="s">
        <v>72</v>
      </c>
      <c r="C25" s="48">
        <v>-69.605000000000004</v>
      </c>
      <c r="D25" s="48">
        <v>-42.372</v>
      </c>
      <c r="E25" s="48">
        <v>-18.285</v>
      </c>
      <c r="F25" s="48">
        <v>-7.0759999999999996</v>
      </c>
      <c r="G25" s="48">
        <v>-10.944000000000001</v>
      </c>
      <c r="H25" s="48">
        <v>-29.257000000000001</v>
      </c>
      <c r="I25" s="48">
        <v>-17.510999999999999</v>
      </c>
      <c r="J25" s="48">
        <v>-31.356000000000002</v>
      </c>
      <c r="K25" s="48">
        <v>-40.767000000000003</v>
      </c>
      <c r="L25" s="48">
        <v>-62.033999999999999</v>
      </c>
      <c r="M25" s="48">
        <v>-20.541</v>
      </c>
      <c r="N25" s="48">
        <v>-40.340000000000003</v>
      </c>
      <c r="O25" s="48">
        <v>-46.209000000000003</v>
      </c>
      <c r="P25" s="48">
        <v>-68.840999999999994</v>
      </c>
      <c r="Q25" s="48">
        <v>-19.131</v>
      </c>
      <c r="R25" s="48">
        <v>-39.491</v>
      </c>
      <c r="S25" s="48">
        <v>-42.308999999999997</v>
      </c>
      <c r="T25" s="48">
        <v>-62.337000000000003</v>
      </c>
      <c r="U25" s="48">
        <v>-25.141999999999999</v>
      </c>
      <c r="V25" s="48">
        <v>-33.277000000000001</v>
      </c>
      <c r="W25" s="48">
        <v>-45.966999999999999</v>
      </c>
      <c r="X25" s="48">
        <v>-58.533000000000001</v>
      </c>
      <c r="Y25" s="48">
        <v>-29.1</v>
      </c>
      <c r="Z25" s="48">
        <v>-52.238999999999997</v>
      </c>
      <c r="AA25" s="48">
        <v>-61.448</v>
      </c>
      <c r="AB25" s="48">
        <v>-37.838000000000001</v>
      </c>
      <c r="AC25" s="48">
        <v>-2.9940000000000002</v>
      </c>
      <c r="AD25" s="48">
        <v>-29.867999999999999</v>
      </c>
      <c r="AE25" s="48">
        <v>-56.746000000000002</v>
      </c>
      <c r="AF25" s="48">
        <v>-66.524000000000001</v>
      </c>
      <c r="AG25" s="48">
        <v>-18.321000000000002</v>
      </c>
      <c r="AH25" s="48">
        <v>-48.84</v>
      </c>
      <c r="AI25" s="48">
        <v>-76.942999999999998</v>
      </c>
      <c r="AJ25" s="48">
        <v>-108.61499999999999</v>
      </c>
      <c r="AK25" s="48">
        <v>-46.134</v>
      </c>
      <c r="AL25" s="48">
        <v>-85.724000000000004</v>
      </c>
      <c r="AM25" s="48">
        <v>-110.688</v>
      </c>
      <c r="AN25" s="48">
        <v>-131.52600000000001</v>
      </c>
      <c r="AO25" s="48">
        <f>-26.1-22</f>
        <v>-48.1</v>
      </c>
      <c r="AP25" s="48">
        <v>-109.75</v>
      </c>
      <c r="AQ25" s="48">
        <v>-187.18600000000001</v>
      </c>
      <c r="AR25" s="48">
        <v>-239.85</v>
      </c>
      <c r="AS25" s="48">
        <v>-190.15</v>
      </c>
      <c r="AT25" s="48">
        <v>-281.26400000000001</v>
      </c>
      <c r="AU25" s="48">
        <v>-357.541</v>
      </c>
      <c r="AV25" s="85">
        <v>-362.14800000000002</v>
      </c>
    </row>
    <row r="26" spans="1:48" ht="15" customHeight="1" x14ac:dyDescent="0.25">
      <c r="B26" s="54" t="s">
        <v>73</v>
      </c>
      <c r="C26" s="55">
        <v>218.32499999999999</v>
      </c>
      <c r="D26" s="55">
        <v>91.031999999999996</v>
      </c>
      <c r="E26" s="55">
        <v>5.7949999999999999</v>
      </c>
      <c r="F26" s="55">
        <v>12.593999999999999</v>
      </c>
      <c r="G26" s="55">
        <v>56.710999999999999</v>
      </c>
      <c r="H26" s="55">
        <v>69.343999999999994</v>
      </c>
      <c r="I26" s="55">
        <v>66.81</v>
      </c>
      <c r="J26" s="55">
        <v>106.58799999999999</v>
      </c>
      <c r="K26" s="55">
        <v>147.23599999999999</v>
      </c>
      <c r="L26" s="55">
        <v>178.58</v>
      </c>
      <c r="M26" s="55">
        <v>76.341999999999999</v>
      </c>
      <c r="N26" s="55">
        <v>143.34</v>
      </c>
      <c r="O26" s="55">
        <v>197.20699999999999</v>
      </c>
      <c r="P26" s="55">
        <v>242.44</v>
      </c>
      <c r="Q26" s="55">
        <v>92.372</v>
      </c>
      <c r="R26" s="55">
        <v>149.21700000000001</v>
      </c>
      <c r="S26" s="55">
        <v>197.84100000000001</v>
      </c>
      <c r="T26" s="55">
        <v>299.30500000000001</v>
      </c>
      <c r="U26" s="55">
        <v>147.15</v>
      </c>
      <c r="V26" s="55">
        <v>5.8929999999999998</v>
      </c>
      <c r="W26" s="55">
        <v>5.8579999999999997</v>
      </c>
      <c r="X26" s="55">
        <v>-64.260999999999996</v>
      </c>
      <c r="Y26" s="55">
        <v>142.38200000000001</v>
      </c>
      <c r="Z26" s="55">
        <v>183.95</v>
      </c>
      <c r="AA26" s="55">
        <v>253.39400000000001</v>
      </c>
      <c r="AB26" s="55">
        <v>55.908999999999999</v>
      </c>
      <c r="AC26" s="55">
        <v>84.007000000000005</v>
      </c>
      <c r="AD26" s="55">
        <v>113.10299999999999</v>
      </c>
      <c r="AE26" s="55">
        <v>153.803</v>
      </c>
      <c r="AF26" s="55">
        <v>185.46600000000001</v>
      </c>
      <c r="AG26" s="55">
        <v>148.87799999999999</v>
      </c>
      <c r="AH26" s="55">
        <v>221.48400000000001</v>
      </c>
      <c r="AI26" s="55">
        <v>209.97200000000001</v>
      </c>
      <c r="AJ26" s="55">
        <v>324.411</v>
      </c>
      <c r="AK26" s="55">
        <v>161.71799999999999</v>
      </c>
      <c r="AL26" s="55">
        <v>385.58199999999999</v>
      </c>
      <c r="AM26" s="55">
        <v>516.39599999999996</v>
      </c>
      <c r="AN26" s="55">
        <v>770.72799999999995</v>
      </c>
      <c r="AO26" s="55">
        <v>241.1</v>
      </c>
      <c r="AP26" s="55">
        <v>520.39200000000005</v>
      </c>
      <c r="AQ26" s="55">
        <v>967.94400000000167</v>
      </c>
      <c r="AR26" s="55">
        <v>1401.527</v>
      </c>
      <c r="AS26" s="55">
        <v>780.90499999999997</v>
      </c>
      <c r="AT26" s="55">
        <v>1179.3610000000001</v>
      </c>
      <c r="AU26" s="55">
        <v>1436.3489999999999</v>
      </c>
      <c r="AV26" s="55">
        <v>1414.8589999999999</v>
      </c>
    </row>
    <row r="27" spans="1:48" ht="15" customHeight="1" x14ac:dyDescent="0.25">
      <c r="A27" s="65" t="s">
        <v>165</v>
      </c>
      <c r="B27" s="56" t="s">
        <v>68</v>
      </c>
      <c r="C27" s="57">
        <f t="shared" ref="C27:AP27" si="6">+C26/C16</f>
        <v>0.12273206380437074</v>
      </c>
      <c r="D27" s="57">
        <f t="shared" si="6"/>
        <v>3.6154067034673061E-2</v>
      </c>
      <c r="E27" s="57">
        <f t="shared" si="6"/>
        <v>8.9986568010124463E-3</v>
      </c>
      <c r="F27" s="57">
        <f t="shared" si="6"/>
        <v>1.0466913781353367E-2</v>
      </c>
      <c r="G27" s="57">
        <f t="shared" si="6"/>
        <v>3.1471911633802377E-2</v>
      </c>
      <c r="H27" s="57">
        <f t="shared" si="6"/>
        <v>2.9507758637564011E-2</v>
      </c>
      <c r="I27" s="57">
        <f t="shared" si="6"/>
        <v>0.11097766991742702</v>
      </c>
      <c r="J27" s="57">
        <f t="shared" si="6"/>
        <v>9.6604504125639867E-2</v>
      </c>
      <c r="K27" s="57">
        <f t="shared" si="6"/>
        <v>8.9855576610307061E-2</v>
      </c>
      <c r="L27" s="57">
        <f t="shared" si="6"/>
        <v>7.8958166055328197E-2</v>
      </c>
      <c r="M27" s="57">
        <f t="shared" si="6"/>
        <v>0.11066511849728998</v>
      </c>
      <c r="N27" s="57">
        <f t="shared" si="6"/>
        <v>0.10288197283037394</v>
      </c>
      <c r="O27" s="57">
        <f t="shared" si="6"/>
        <v>9.0119802072499089E-2</v>
      </c>
      <c r="P27" s="57">
        <f t="shared" si="6"/>
        <v>7.5497292168354851E-2</v>
      </c>
      <c r="Q27" s="57">
        <f t="shared" si="6"/>
        <v>9.235546837116157E-2</v>
      </c>
      <c r="R27" s="57">
        <f t="shared" si="6"/>
        <v>7.5723605819294937E-2</v>
      </c>
      <c r="S27" s="57">
        <f t="shared" si="6"/>
        <v>6.7665061009060723E-2</v>
      </c>
      <c r="T27" s="57">
        <f t="shared" si="6"/>
        <v>7.579765378144962E-2</v>
      </c>
      <c r="U27" s="57">
        <f t="shared" si="6"/>
        <v>0.13901353764182406</v>
      </c>
      <c r="V27" s="57">
        <f t="shared" si="6"/>
        <v>2.9998523744801291E-3</v>
      </c>
      <c r="W27" s="57">
        <f t="shared" si="6"/>
        <v>2.040750918303076E-3</v>
      </c>
      <c r="X27" s="57">
        <f t="shared" si="6"/>
        <v>-1.6708371944516378E-2</v>
      </c>
      <c r="Y27" s="57">
        <f t="shared" si="6"/>
        <v>0.12396630894150383</v>
      </c>
      <c r="Z27" s="57">
        <f t="shared" si="6"/>
        <v>8.5872432638340046E-2</v>
      </c>
      <c r="AA27" s="57">
        <f t="shared" si="6"/>
        <v>7.9263179066768136E-2</v>
      </c>
      <c r="AB27" s="57">
        <f t="shared" si="6"/>
        <v>1.2494315331230424E-2</v>
      </c>
      <c r="AC27" s="57">
        <f t="shared" si="6"/>
        <v>7.6986451513574153E-2</v>
      </c>
      <c r="AD27" s="57">
        <f t="shared" si="6"/>
        <v>5.543770114627028E-2</v>
      </c>
      <c r="AE27" s="57">
        <f t="shared" si="6"/>
        <v>5.4029757942272189E-2</v>
      </c>
      <c r="AF27" s="57">
        <f t="shared" si="6"/>
        <v>4.770005030641649E-2</v>
      </c>
      <c r="AG27" s="57">
        <f t="shared" si="6"/>
        <v>0.1083954448255551</v>
      </c>
      <c r="AH27" s="57">
        <f t="shared" si="6"/>
        <v>9.0835827910473288E-2</v>
      </c>
      <c r="AI27" s="57">
        <f t="shared" si="6"/>
        <v>6.1505149692740811E-2</v>
      </c>
      <c r="AJ27" s="57">
        <f t="shared" si="6"/>
        <v>6.847874476215525E-2</v>
      </c>
      <c r="AK27" s="57">
        <f t="shared" si="6"/>
        <v>9.8790757342048591E-2</v>
      </c>
      <c r="AL27" s="57">
        <f t="shared" si="6"/>
        <v>0.115295381959198</v>
      </c>
      <c r="AM27" s="57">
        <f t="shared" si="6"/>
        <v>0.1018450787086717</v>
      </c>
      <c r="AN27" s="57">
        <f t="shared" si="6"/>
        <v>0.10294033777682325</v>
      </c>
      <c r="AO27" s="57">
        <f t="shared" si="6"/>
        <v>0.10640227474029415</v>
      </c>
      <c r="AP27" s="57">
        <f t="shared" si="6"/>
        <v>0.10198749320922183</v>
      </c>
      <c r="AQ27" s="57">
        <v>0.11580395505350222</v>
      </c>
      <c r="AR27" s="57">
        <v>0.115378881222632</v>
      </c>
      <c r="AS27" s="57">
        <v>0.17022533950026572</v>
      </c>
      <c r="AT27" s="57">
        <v>0.14199104417916797</v>
      </c>
      <c r="AU27" s="57">
        <v>0.12714636824627118</v>
      </c>
      <c r="AV27" s="57">
        <v>9.6885893473513007E-2</v>
      </c>
    </row>
    <row r="30" spans="1:48" ht="20.100000000000001" customHeight="1" x14ac:dyDescent="0.25">
      <c r="B30" s="36" t="s">
        <v>151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x14ac:dyDescent="0.25">
      <c r="B31" s="35" t="s">
        <v>65</v>
      </c>
      <c r="C31" s="39" t="s">
        <v>1</v>
      </c>
      <c r="D31" s="39" t="s">
        <v>2</v>
      </c>
      <c r="E31" s="39" t="s">
        <v>7</v>
      </c>
      <c r="F31" s="39" t="s">
        <v>8</v>
      </c>
      <c r="G31" s="39" t="s">
        <v>9</v>
      </c>
      <c r="H31" s="39" t="s">
        <v>10</v>
      </c>
      <c r="I31" s="39" t="s">
        <v>11</v>
      </c>
      <c r="J31" s="39" t="s">
        <v>12</v>
      </c>
      <c r="K31" s="39" t="s">
        <v>13</v>
      </c>
      <c r="L31" s="39" t="s">
        <v>14</v>
      </c>
      <c r="M31" s="39" t="s">
        <v>15</v>
      </c>
      <c r="N31" s="39" t="s">
        <v>16</v>
      </c>
      <c r="O31" s="39" t="s">
        <v>17</v>
      </c>
      <c r="P31" s="39" t="s">
        <v>18</v>
      </c>
      <c r="Q31" s="39" t="s">
        <v>19</v>
      </c>
      <c r="R31" s="39" t="s">
        <v>20</v>
      </c>
      <c r="S31" s="39" t="s">
        <v>21</v>
      </c>
      <c r="T31" s="39" t="s">
        <v>22</v>
      </c>
      <c r="U31" s="39" t="s">
        <v>23</v>
      </c>
      <c r="V31" s="39" t="s">
        <v>24</v>
      </c>
      <c r="W31" s="39" t="s">
        <v>25</v>
      </c>
      <c r="X31" s="39" t="s">
        <v>26</v>
      </c>
      <c r="Y31" s="39" t="s">
        <v>27</v>
      </c>
      <c r="Z31" s="39" t="s">
        <v>28</v>
      </c>
      <c r="AA31" s="39" t="s">
        <v>29</v>
      </c>
      <c r="AB31" s="39" t="s">
        <v>30</v>
      </c>
      <c r="AC31" s="39" t="s">
        <v>31</v>
      </c>
      <c r="AD31" s="39" t="s">
        <v>32</v>
      </c>
      <c r="AE31" s="39" t="s">
        <v>33</v>
      </c>
      <c r="AF31" s="39" t="s">
        <v>34</v>
      </c>
      <c r="AG31" s="39" t="s">
        <v>35</v>
      </c>
      <c r="AH31" s="39" t="s">
        <v>36</v>
      </c>
      <c r="AI31" s="39" t="s">
        <v>37</v>
      </c>
      <c r="AJ31" s="39" t="s">
        <v>38</v>
      </c>
      <c r="AK31" s="39" t="s">
        <v>39</v>
      </c>
      <c r="AL31" s="39" t="s">
        <v>40</v>
      </c>
      <c r="AM31" s="39" t="s">
        <v>41</v>
      </c>
      <c r="AN31" s="39" t="s">
        <v>171</v>
      </c>
      <c r="AO31" s="39" t="s">
        <v>173</v>
      </c>
      <c r="AP31" s="39" t="s">
        <v>174</v>
      </c>
      <c r="AQ31" s="39" t="s">
        <v>176</v>
      </c>
      <c r="AR31" s="39" t="s">
        <v>183</v>
      </c>
      <c r="AS31" s="39" t="s">
        <v>187</v>
      </c>
      <c r="AT31" s="39" t="s">
        <v>189</v>
      </c>
      <c r="AU31" s="39" t="s">
        <v>192</v>
      </c>
      <c r="AV31" s="39" t="s">
        <v>194</v>
      </c>
    </row>
    <row r="32" spans="1:48" ht="15" customHeight="1" x14ac:dyDescent="0.25">
      <c r="B32" s="10" t="s">
        <v>66</v>
      </c>
      <c r="C32" s="11">
        <v>549.65800000000002</v>
      </c>
      <c r="D32" s="45">
        <f>+D16-C16</f>
        <v>739.01600000000008</v>
      </c>
      <c r="E32" s="45">
        <f>+E16</f>
        <v>643.98500000000001</v>
      </c>
      <c r="F32" s="45">
        <f t="shared" ref="F32:H33" si="7">+F16-E16</f>
        <v>559.23500000000001</v>
      </c>
      <c r="G32" s="45">
        <f t="shared" si="7"/>
        <v>598.73599999999988</v>
      </c>
      <c r="H32" s="45">
        <f t="shared" si="7"/>
        <v>548.06999999999994</v>
      </c>
      <c r="I32" s="45">
        <f>+I16</f>
        <v>602.01300000000003</v>
      </c>
      <c r="J32" s="45">
        <f t="shared" ref="J32:L33" si="8">+J16-I16</f>
        <v>501.33100000000002</v>
      </c>
      <c r="K32" s="45">
        <f t="shared" si="8"/>
        <v>535.24099999999999</v>
      </c>
      <c r="L32" s="45">
        <f t="shared" si="8"/>
        <v>623.11900000000014</v>
      </c>
      <c r="M32" s="45">
        <f>+M16</f>
        <v>689.84699999999998</v>
      </c>
      <c r="N32" s="45">
        <f t="shared" ref="N32:P33" si="9">+N16-M16</f>
        <v>703.40000000000009</v>
      </c>
      <c r="O32" s="45">
        <f t="shared" si="9"/>
        <v>795.02899999999977</v>
      </c>
      <c r="P32" s="45">
        <f t="shared" si="9"/>
        <v>1022.9650000000001</v>
      </c>
      <c r="Q32" s="45">
        <f>+Q16</f>
        <v>1000.179</v>
      </c>
      <c r="R32" s="45">
        <f t="shared" ref="R32:T33" si="10">+R16-Q16</f>
        <v>970.36900000000003</v>
      </c>
      <c r="S32" s="45">
        <f t="shared" si="10"/>
        <v>953.28</v>
      </c>
      <c r="T32" s="45">
        <f t="shared" si="10"/>
        <v>1024.9090000000001</v>
      </c>
      <c r="U32" s="45">
        <f>+U16</f>
        <v>1058.53</v>
      </c>
      <c r="V32" s="45">
        <f t="shared" ref="V32:X33" si="11">+V16-U16</f>
        <v>905.90000000000009</v>
      </c>
      <c r="W32" s="45">
        <f t="shared" si="11"/>
        <v>906.08200000000011</v>
      </c>
      <c r="X32" s="45">
        <f t="shared" si="11"/>
        <v>975.52399999999989</v>
      </c>
      <c r="Y32" s="45">
        <f>+Y16</f>
        <v>1148.5540000000001</v>
      </c>
      <c r="Z32" s="45">
        <f t="shared" ref="Z32:AB33" si="12">+Z16-Y16</f>
        <v>993.57699999999977</v>
      </c>
      <c r="AA32" s="45">
        <f t="shared" si="12"/>
        <v>1054.7380000000003</v>
      </c>
      <c r="AB32" s="45">
        <f t="shared" si="12"/>
        <v>1277.886</v>
      </c>
      <c r="AC32" s="45">
        <f>+AC16</f>
        <v>1091.192</v>
      </c>
      <c r="AD32" s="45">
        <f t="shared" ref="AD32:AF33" si="13">+AD16-AC16</f>
        <v>948.99</v>
      </c>
      <c r="AE32" s="45">
        <f t="shared" si="13"/>
        <v>806.4530000000002</v>
      </c>
      <c r="AF32" s="45">
        <f t="shared" si="13"/>
        <v>1041.5369999999998</v>
      </c>
      <c r="AG32" s="45">
        <f>+AG16</f>
        <v>1373.471</v>
      </c>
      <c r="AH32" s="45">
        <f t="shared" ref="AH32:AJ33" si="14">+AH16-AG16</f>
        <v>1064.8180000000002</v>
      </c>
      <c r="AI32" s="45">
        <f t="shared" si="14"/>
        <v>975.60399999999981</v>
      </c>
      <c r="AJ32" s="45">
        <f t="shared" si="14"/>
        <v>1323.5039999999999</v>
      </c>
      <c r="AK32" s="45">
        <f>+AK16</f>
        <v>1636.9749999999999</v>
      </c>
      <c r="AL32" s="45">
        <f t="shared" ref="AL32:AN33" si="15">+AL16-AK16</f>
        <v>1707.3220000000001</v>
      </c>
      <c r="AM32" s="45">
        <f t="shared" si="15"/>
        <v>1726.1100000000001</v>
      </c>
      <c r="AN32" s="45">
        <f t="shared" si="15"/>
        <v>2416.7259999999997</v>
      </c>
      <c r="AO32" s="45">
        <f>+AO16</f>
        <v>2265.9290000000001</v>
      </c>
      <c r="AP32" s="45">
        <f t="shared" ref="AP32:AV33" si="16">+AP16-AO16</f>
        <v>2836.5789999999997</v>
      </c>
      <c r="AQ32" s="45">
        <f t="shared" si="16"/>
        <v>3255.9629999999997</v>
      </c>
      <c r="AR32" s="45">
        <f t="shared" si="16"/>
        <v>3788.7000000000007</v>
      </c>
      <c r="AS32" s="45">
        <f>+AS16</f>
        <v>4587.4780000000001</v>
      </c>
      <c r="AT32" s="45">
        <f t="shared" si="16"/>
        <v>3718.4049999999997</v>
      </c>
      <c r="AU32" s="45">
        <f t="shared" si="16"/>
        <v>2990.9320000000007</v>
      </c>
      <c r="AV32" s="45">
        <f t="shared" si="16"/>
        <v>3306.5389999999989</v>
      </c>
    </row>
    <row r="33" spans="1:48" ht="15" customHeight="1" x14ac:dyDescent="0.25">
      <c r="B33" s="42" t="s">
        <v>67</v>
      </c>
      <c r="C33" s="43">
        <v>89.870999999999995</v>
      </c>
      <c r="D33" s="43">
        <f>+D17-C17</f>
        <v>-50.305999999999983</v>
      </c>
      <c r="E33" s="43">
        <f>+E17</f>
        <v>114.462</v>
      </c>
      <c r="F33" s="43">
        <f t="shared" si="7"/>
        <v>11.332999999999998</v>
      </c>
      <c r="G33" s="43">
        <f t="shared" si="7"/>
        <v>78.171000000000006</v>
      </c>
      <c r="H33" s="43">
        <f t="shared" si="7"/>
        <v>76.430999999999983</v>
      </c>
      <c r="I33" s="43">
        <f>+I17</f>
        <v>136.45699999999999</v>
      </c>
      <c r="J33" s="43">
        <f t="shared" si="8"/>
        <v>90.099000000000018</v>
      </c>
      <c r="K33" s="43">
        <f t="shared" si="8"/>
        <v>72.359999999999985</v>
      </c>
      <c r="L33" s="43">
        <f t="shared" si="8"/>
        <v>103.46199999999999</v>
      </c>
      <c r="M33" s="43">
        <f>+M17</f>
        <v>130.01900000000001</v>
      </c>
      <c r="N33" s="43">
        <f t="shared" si="9"/>
        <v>127.904</v>
      </c>
      <c r="O33" s="43">
        <f t="shared" si="9"/>
        <v>115.58499999999998</v>
      </c>
      <c r="P33" s="43">
        <f t="shared" si="9"/>
        <v>127.95100000000002</v>
      </c>
      <c r="Q33" s="43">
        <f>+Q17</f>
        <v>130.18799999999999</v>
      </c>
      <c r="R33" s="43">
        <f t="shared" si="10"/>
        <v>120.01600000000002</v>
      </c>
      <c r="S33" s="43">
        <f t="shared" si="10"/>
        <v>85.569000000000017</v>
      </c>
      <c r="T33" s="43">
        <f t="shared" si="10"/>
        <v>49.488999999999976</v>
      </c>
      <c r="U33" s="43">
        <f>+U17</f>
        <v>159.095</v>
      </c>
      <c r="V33" s="43">
        <f t="shared" si="11"/>
        <v>-70.218000000000004</v>
      </c>
      <c r="W33" s="43">
        <f t="shared" si="11"/>
        <v>55.33</v>
      </c>
      <c r="X33" s="43">
        <f t="shared" si="11"/>
        <v>-16.974999999999994</v>
      </c>
      <c r="Y33" s="43">
        <f>+Y17</f>
        <v>215.55099999999999</v>
      </c>
      <c r="Z33" s="43">
        <f t="shared" si="12"/>
        <v>104.74700000000001</v>
      </c>
      <c r="AA33" s="43">
        <f t="shared" si="12"/>
        <v>106.363</v>
      </c>
      <c r="AB33" s="43">
        <f t="shared" si="12"/>
        <v>25.762999999999977</v>
      </c>
      <c r="AC33" s="43">
        <f>+AC17</f>
        <v>115.236</v>
      </c>
      <c r="AD33" s="43">
        <f t="shared" si="13"/>
        <v>97.219999999999985</v>
      </c>
      <c r="AE33" s="43">
        <f t="shared" si="13"/>
        <v>109.66999999999999</v>
      </c>
      <c r="AF33" s="43">
        <f t="shared" si="13"/>
        <v>86.748000000000047</v>
      </c>
      <c r="AG33" s="43">
        <f>+AG17</f>
        <v>223.19300000000001</v>
      </c>
      <c r="AH33" s="43">
        <f t="shared" si="14"/>
        <v>149.80199999999999</v>
      </c>
      <c r="AI33" s="43">
        <f t="shared" si="14"/>
        <v>72.365000000000009</v>
      </c>
      <c r="AJ33" s="43">
        <f t="shared" si="14"/>
        <v>208.18499999999995</v>
      </c>
      <c r="AK33" s="43">
        <f>+AK17</f>
        <v>265.68299999999999</v>
      </c>
      <c r="AL33" s="43">
        <f t="shared" si="15"/>
        <v>233.15300000000002</v>
      </c>
      <c r="AM33" s="43">
        <f t="shared" si="15"/>
        <v>233.66700000000003</v>
      </c>
      <c r="AN33" s="43">
        <f t="shared" si="15"/>
        <v>295.9319999999999</v>
      </c>
      <c r="AO33" s="43">
        <f>+AO17</f>
        <v>340.9</v>
      </c>
      <c r="AP33" s="43">
        <f t="shared" si="16"/>
        <v>392.84699999999998</v>
      </c>
      <c r="AQ33" s="43">
        <f t="shared" si="16"/>
        <v>483.6500000000018</v>
      </c>
      <c r="AR33" s="43">
        <f t="shared" si="16"/>
        <v>585.94499999999834</v>
      </c>
      <c r="AS33" s="43">
        <f>+AS17</f>
        <v>1063.692</v>
      </c>
      <c r="AT33" s="43">
        <f t="shared" si="16"/>
        <v>569.30500000000006</v>
      </c>
      <c r="AU33" s="43">
        <f t="shared" si="16"/>
        <v>514.56400000000008</v>
      </c>
      <c r="AV33" s="4">
        <f t="shared" si="16"/>
        <v>254.00099999999975</v>
      </c>
    </row>
    <row r="34" spans="1:48" ht="15" customHeight="1" x14ac:dyDescent="0.25">
      <c r="B34" s="25" t="s">
        <v>68</v>
      </c>
      <c r="C34" s="46">
        <f t="shared" ref="C34:AL34" si="17">+C33/C32</f>
        <v>0.16350348762321296</v>
      </c>
      <c r="D34" s="46">
        <f t="shared" si="17"/>
        <v>-6.8071597908570286E-2</v>
      </c>
      <c r="E34" s="46">
        <f t="shared" si="17"/>
        <v>0.17774016475539026</v>
      </c>
      <c r="F34" s="46">
        <f t="shared" si="17"/>
        <v>2.0265183688431516E-2</v>
      </c>
      <c r="G34" s="46">
        <f t="shared" si="17"/>
        <v>0.13056004649795572</v>
      </c>
      <c r="H34" s="46">
        <f t="shared" si="17"/>
        <v>0.13945481416607367</v>
      </c>
      <c r="I34" s="46">
        <f t="shared" si="17"/>
        <v>0.22666786265412872</v>
      </c>
      <c r="J34" s="46">
        <f t="shared" si="17"/>
        <v>0.17971958646084127</v>
      </c>
      <c r="K34" s="46">
        <f t="shared" si="17"/>
        <v>0.1351914371283216</v>
      </c>
      <c r="L34" s="46">
        <f t="shared" si="17"/>
        <v>0.16603891070565971</v>
      </c>
      <c r="M34" s="46">
        <f t="shared" si="17"/>
        <v>0.1884751256438022</v>
      </c>
      <c r="N34" s="46">
        <f t="shared" si="17"/>
        <v>0.18183679272106906</v>
      </c>
      <c r="O34" s="46">
        <f t="shared" si="17"/>
        <v>0.14538463376807639</v>
      </c>
      <c r="P34" s="46">
        <f t="shared" si="17"/>
        <v>0.12507857062558347</v>
      </c>
      <c r="Q34" s="46">
        <f t="shared" si="17"/>
        <v>0.13016470051860715</v>
      </c>
      <c r="R34" s="46">
        <f t="shared" si="17"/>
        <v>0.12368078535072742</v>
      </c>
      <c r="S34" s="46">
        <f t="shared" si="17"/>
        <v>8.9762713997985924E-2</v>
      </c>
      <c r="T34" s="46">
        <f t="shared" si="17"/>
        <v>4.8286238095284525E-2</v>
      </c>
      <c r="U34" s="46">
        <f t="shared" si="17"/>
        <v>0.15029805484964998</v>
      </c>
      <c r="V34" s="46">
        <f t="shared" si="17"/>
        <v>-7.7511866651948341E-2</v>
      </c>
      <c r="W34" s="46">
        <f t="shared" si="17"/>
        <v>6.1065113312040183E-2</v>
      </c>
      <c r="X34" s="46">
        <f t="shared" si="17"/>
        <v>-1.7400904539509019E-2</v>
      </c>
      <c r="Y34" s="46">
        <f t="shared" si="17"/>
        <v>0.1876716288480994</v>
      </c>
      <c r="Z34" s="46">
        <f t="shared" si="17"/>
        <v>0.10542413924637953</v>
      </c>
      <c r="AA34" s="46">
        <f t="shared" si="17"/>
        <v>0.1008430529667083</v>
      </c>
      <c r="AB34" s="46">
        <f t="shared" si="17"/>
        <v>2.016064030750785E-2</v>
      </c>
      <c r="AC34" s="46">
        <f t="shared" si="17"/>
        <v>0.10560561294437643</v>
      </c>
      <c r="AD34" s="46">
        <f t="shared" si="17"/>
        <v>0.10244575812179263</v>
      </c>
      <c r="AE34" s="46">
        <f t="shared" si="17"/>
        <v>0.13599056609622626</v>
      </c>
      <c r="AF34" s="46">
        <f t="shared" si="17"/>
        <v>8.3288447745975477E-2</v>
      </c>
      <c r="AG34" s="46">
        <f t="shared" si="17"/>
        <v>0.16250288502633112</v>
      </c>
      <c r="AH34" s="46">
        <f t="shared" si="17"/>
        <v>0.14068319656504677</v>
      </c>
      <c r="AI34" s="46">
        <f t="shared" si="17"/>
        <v>7.4174562629919547E-2</v>
      </c>
      <c r="AJ34" s="46">
        <f t="shared" si="17"/>
        <v>0.15729835346171978</v>
      </c>
      <c r="AK34" s="46">
        <f t="shared" si="17"/>
        <v>0.16230119580323463</v>
      </c>
      <c r="AL34" s="46">
        <f t="shared" si="17"/>
        <v>0.13656064878212781</v>
      </c>
      <c r="AM34" s="46">
        <f>+AM33/AM32</f>
        <v>0.13537202148182909</v>
      </c>
      <c r="AN34" s="46">
        <f>+AN33/AN32</f>
        <v>0.12245161429140082</v>
      </c>
      <c r="AO34" s="46">
        <f t="shared" ref="AO34:AR34" si="18">+AO33/AO32</f>
        <v>0.15044602015332342</v>
      </c>
      <c r="AP34" s="46">
        <f t="shared" si="18"/>
        <v>0.1384932342797433</v>
      </c>
      <c r="AQ34" s="46">
        <f t="shared" si="18"/>
        <v>0.14854284277800511</v>
      </c>
      <c r="AR34" s="46">
        <f t="shared" si="18"/>
        <v>0.15465595058991163</v>
      </c>
      <c r="AS34" s="46">
        <f t="shared" ref="AS34:AV34" si="19">+AS33/AS32</f>
        <v>0.23186857789835721</v>
      </c>
      <c r="AT34" s="46">
        <f t="shared" si="19"/>
        <v>0.15310462416009019</v>
      </c>
      <c r="AU34" s="46">
        <f t="shared" si="19"/>
        <v>0.17204135700845086</v>
      </c>
      <c r="AV34" s="89">
        <f t="shared" si="19"/>
        <v>7.681778439631283E-2</v>
      </c>
    </row>
    <row r="35" spans="1:48" ht="15" customHeight="1" x14ac:dyDescent="0.25">
      <c r="B35" s="42" t="s">
        <v>69</v>
      </c>
      <c r="C35" s="47">
        <v>57.525000000000006</v>
      </c>
      <c r="D35" s="47">
        <f>+D19-C19</f>
        <v>-93.699000000000012</v>
      </c>
      <c r="E35" s="47">
        <f>+E19</f>
        <v>77.173000000000002</v>
      </c>
      <c r="F35" s="47">
        <f>+F19-E19</f>
        <v>-21.664000000000001</v>
      </c>
      <c r="G35" s="47">
        <f>+G19-F19</f>
        <v>40.564999999999998</v>
      </c>
      <c r="H35" s="47">
        <f>+H19-G19</f>
        <v>29.379999999999995</v>
      </c>
      <c r="I35" s="47">
        <f>+I19</f>
        <v>87.165000000000006</v>
      </c>
      <c r="J35" s="47">
        <f>+J19-I19</f>
        <v>54.438000000000002</v>
      </c>
      <c r="K35" s="47">
        <f>+K19-J19</f>
        <v>31.805999999999983</v>
      </c>
      <c r="L35" s="47">
        <f>+L19-K19</f>
        <v>52.519000000000005</v>
      </c>
      <c r="M35" s="47">
        <f>+M19</f>
        <v>79.144000000000005</v>
      </c>
      <c r="N35" s="47">
        <f>+N19-M19</f>
        <v>81.191000000000003</v>
      </c>
      <c r="O35" s="47">
        <f>+O19-N19</f>
        <v>76.532999999999987</v>
      </c>
      <c r="P35" s="47">
        <f>+P19-O19</f>
        <v>65.437999999999988</v>
      </c>
      <c r="Q35" s="47">
        <f>+Q19</f>
        <v>102.78100000000001</v>
      </c>
      <c r="R35" s="47">
        <f>+R19-Q19</f>
        <v>68.948000000000008</v>
      </c>
      <c r="S35" s="47">
        <f>+S19-R19</f>
        <v>43.240999999999985</v>
      </c>
      <c r="T35" s="47">
        <f>+T19-S19</f>
        <v>-14.924000000000007</v>
      </c>
      <c r="U35" s="47">
        <f>+U19</f>
        <v>107.09399999999999</v>
      </c>
      <c r="V35" s="47">
        <f>+V19-U19</f>
        <v>-150.958</v>
      </c>
      <c r="W35" s="47">
        <f>+W19-V19</f>
        <v>3.215999999999994</v>
      </c>
      <c r="X35" s="47">
        <f>+X19-W19</f>
        <v>-82.899000000000001</v>
      </c>
      <c r="Y35" s="47">
        <f>+Y19</f>
        <v>139.90700000000001</v>
      </c>
      <c r="Z35" s="47">
        <f>+Z19-Y19</f>
        <v>63.22799999999998</v>
      </c>
      <c r="AA35" s="47">
        <f>+AA19-Z19</f>
        <v>56.148000000000025</v>
      </c>
      <c r="AB35" s="47">
        <f>+AB19-AA19</f>
        <v>-234.76800000000003</v>
      </c>
      <c r="AC35" s="47">
        <f>+AC19</f>
        <v>26.718</v>
      </c>
      <c r="AD35" s="47">
        <f>+AD19-AC19</f>
        <v>30.770999999999997</v>
      </c>
      <c r="AE35" s="47">
        <f>+AE19-AD19</f>
        <v>12.538000000000004</v>
      </c>
      <c r="AF35" s="47">
        <f>+AF19-AE19</f>
        <v>46.495999999999995</v>
      </c>
      <c r="AG35" s="47">
        <f>+AG19</f>
        <v>165.78</v>
      </c>
      <c r="AH35" s="47">
        <f>+AH19-AG19</f>
        <v>84.134999999999991</v>
      </c>
      <c r="AI35" s="47">
        <f>+AI19-AH19</f>
        <v>2.4570000000000221</v>
      </c>
      <c r="AJ35" s="47">
        <f>+AJ19-AI19</f>
        <v>60.920999999999992</v>
      </c>
      <c r="AK35" s="47">
        <f>+AK19</f>
        <v>163.66999999999999</v>
      </c>
      <c r="AL35" s="47">
        <f>+AL19-AK19</f>
        <v>269.73400000000004</v>
      </c>
      <c r="AM35" s="47">
        <f>+AM19-AL19</f>
        <v>132.92399999999998</v>
      </c>
      <c r="AN35" s="47">
        <f>+AN19-AM19</f>
        <v>211.86900000000003</v>
      </c>
      <c r="AO35" s="47">
        <f>+AO19</f>
        <v>211.4</v>
      </c>
      <c r="AP35" s="47">
        <f>+AP19-AO19</f>
        <v>172.6</v>
      </c>
      <c r="AQ35" s="47">
        <f>+AQ19-AP19</f>
        <v>109.19100000000179</v>
      </c>
      <c r="AR35" s="47">
        <f>+AR19-AQ19</f>
        <v>618.87099999999805</v>
      </c>
      <c r="AS35" s="47">
        <f>+AS19</f>
        <v>851.38400000000001</v>
      </c>
      <c r="AT35" s="47">
        <f>+AT19-AS19</f>
        <v>432.10500000000002</v>
      </c>
      <c r="AU35" s="47">
        <f>+AU19-AT19</f>
        <v>323.125</v>
      </c>
      <c r="AV35" s="91">
        <f>+AV19-AU19</f>
        <v>-3.2229999999999563</v>
      </c>
    </row>
    <row r="36" spans="1:48" ht="15" customHeight="1" x14ac:dyDescent="0.25">
      <c r="B36" s="25" t="s">
        <v>68</v>
      </c>
      <c r="C36" s="46">
        <f t="shared" ref="C36" si="20">+C35/C32</f>
        <v>0.10465598608589342</v>
      </c>
      <c r="D36" s="46">
        <f t="shared" ref="D36" si="21">+D35/D32</f>
        <v>-0.12678886519371704</v>
      </c>
      <c r="E36" s="46">
        <f t="shared" ref="E36" si="22">+E35/E32</f>
        <v>0.11983664215781424</v>
      </c>
      <c r="F36" s="46">
        <f t="shared" ref="F36" si="23">+F35/F32</f>
        <v>-3.8738634026840239E-2</v>
      </c>
      <c r="G36" s="46">
        <f t="shared" ref="G36" si="24">+G35/G32</f>
        <v>6.7751062237780935E-2</v>
      </c>
      <c r="H36" s="46">
        <f t="shared" ref="H36" si="25">+H35/H32</f>
        <v>5.3606291167186675E-2</v>
      </c>
      <c r="I36" s="46">
        <f t="shared" ref="I36" si="26">+I35/I32</f>
        <v>0.14478923212621655</v>
      </c>
      <c r="J36" s="46">
        <f t="shared" ref="J36" si="27">+J35/J32</f>
        <v>0.10858694156156312</v>
      </c>
      <c r="K36" s="46">
        <f t="shared" ref="K36" si="28">+K35/K32</f>
        <v>5.9423698857150299E-2</v>
      </c>
      <c r="L36" s="46">
        <f t="shared" ref="L36" si="29">+L35/L32</f>
        <v>8.4284061310921338E-2</v>
      </c>
      <c r="M36" s="46">
        <f t="shared" ref="M36" si="30">+M35/M32</f>
        <v>0.11472688871590368</v>
      </c>
      <c r="N36" s="46">
        <f t="shared" ref="N36" si="31">+N35/N32</f>
        <v>0.11542649985783338</v>
      </c>
      <c r="O36" s="46">
        <f t="shared" ref="O36" si="32">+O35/O32</f>
        <v>9.6264412996255488E-2</v>
      </c>
      <c r="P36" s="46">
        <f t="shared" ref="P36" si="33">+P35/P32</f>
        <v>6.3968952994481701E-2</v>
      </c>
      <c r="Q36" s="46">
        <f t="shared" ref="Q36" si="34">+Q35/Q32</f>
        <v>0.10276260549361665</v>
      </c>
      <c r="R36" s="46">
        <f t="shared" ref="R36" si="35">+R35/R32</f>
        <v>7.1053382785311578E-2</v>
      </c>
      <c r="S36" s="46">
        <f t="shared" ref="S36" si="36">+S35/S32</f>
        <v>4.5360229942933858E-2</v>
      </c>
      <c r="T36" s="46">
        <f t="shared" ref="T36" si="37">+T35/T32</f>
        <v>-1.4561292758674189E-2</v>
      </c>
      <c r="U36" s="46">
        <f t="shared" ref="U36" si="38">+U35/U32</f>
        <v>0.10117238056550121</v>
      </c>
      <c r="V36" s="46">
        <f t="shared" ref="V36" si="39">+V35/V32</f>
        <v>-0.16663870184347057</v>
      </c>
      <c r="W36" s="46">
        <f t="shared" ref="W36" si="40">+W35/W32</f>
        <v>3.5493476307883764E-3</v>
      </c>
      <c r="X36" s="46">
        <f t="shared" ref="X36" si="41">+X35/X32</f>
        <v>-8.4978944649234681E-2</v>
      </c>
      <c r="Y36" s="46">
        <f t="shared" ref="Y36" si="42">+Y35/Y32</f>
        <v>0.12181142549675505</v>
      </c>
      <c r="Z36" s="46">
        <f t="shared" ref="Z36" si="43">+Z35/Z32</f>
        <v>6.363673877313987E-2</v>
      </c>
      <c r="AA36" s="46">
        <f t="shared" ref="AA36" si="44">+AA35/AA32</f>
        <v>5.3234073295927525E-2</v>
      </c>
      <c r="AB36" s="46">
        <f t="shared" ref="AB36" si="45">+AB35/AB32</f>
        <v>-0.18371591832135264</v>
      </c>
      <c r="AC36" s="46">
        <f t="shared" ref="AC36" si="46">+AC35/AC32</f>
        <v>2.4485150184385514E-2</v>
      </c>
      <c r="AD36" s="46">
        <f t="shared" ref="AD36" si="47">+AD35/AD32</f>
        <v>3.2424999209686084E-2</v>
      </c>
      <c r="AE36" s="46">
        <f t="shared" ref="AE36" si="48">+AE35/AE32</f>
        <v>1.5547093258999596E-2</v>
      </c>
      <c r="AF36" s="46">
        <f t="shared" ref="AF36" si="49">+AF35/AF32</f>
        <v>4.4641717000932279E-2</v>
      </c>
      <c r="AG36" s="46">
        <f t="shared" ref="AG36" si="50">+AG35/AG32</f>
        <v>0.12070149278725215</v>
      </c>
      <c r="AH36" s="46">
        <f t="shared" ref="AH36" si="51">+AH35/AH32</f>
        <v>7.9013502777000366E-2</v>
      </c>
      <c r="AI36" s="46">
        <f t="shared" ref="AI36" si="52">+AI35/AI32</f>
        <v>2.5184398587951898E-3</v>
      </c>
      <c r="AJ36" s="46">
        <f t="shared" ref="AJ36" si="53">+AJ35/AJ32</f>
        <v>4.6030083777608526E-2</v>
      </c>
      <c r="AK36" s="46">
        <f t="shared" ref="AK36" si="54">+AK35/AK32</f>
        <v>9.9983200720841797E-2</v>
      </c>
      <c r="AL36" s="46">
        <f t="shared" ref="AL36" si="55">+AL35/AL32</f>
        <v>0.15798660123866501</v>
      </c>
      <c r="AM36" s="46">
        <f>+AM35/AM32</f>
        <v>7.700783843439872E-2</v>
      </c>
      <c r="AN36" s="46">
        <f>+AN35/AN32</f>
        <v>8.766777863936584E-2</v>
      </c>
      <c r="AO36" s="46">
        <f t="shared" ref="AO36:AR36" si="56">+AO35/AO32</f>
        <v>9.3295067939021925E-2</v>
      </c>
      <c r="AP36" s="46">
        <f t="shared" si="56"/>
        <v>6.0847943949384101E-2</v>
      </c>
      <c r="AQ36" s="46">
        <f t="shared" si="56"/>
        <v>3.3535700497825623E-2</v>
      </c>
      <c r="AR36" s="46">
        <f t="shared" si="56"/>
        <v>0.16334653047219308</v>
      </c>
      <c r="AS36" s="46">
        <f t="shared" ref="AS36:AV36" si="57">+AS35/AS32</f>
        <v>0.18558868293210343</v>
      </c>
      <c r="AT36" s="46">
        <f t="shared" si="57"/>
        <v>0.11620708341345283</v>
      </c>
      <c r="AU36" s="46">
        <f t="shared" si="57"/>
        <v>0.10803488678445379</v>
      </c>
      <c r="AV36" s="89">
        <f t="shared" si="57"/>
        <v>-9.7473521407125618E-4</v>
      </c>
    </row>
    <row r="37" spans="1:48" ht="15" customHeight="1" x14ac:dyDescent="0.25">
      <c r="B37" s="42" t="s">
        <v>70</v>
      </c>
      <c r="C37" s="43">
        <f>+C21-236</f>
        <v>75</v>
      </c>
      <c r="D37" s="43">
        <f>+D21-C21</f>
        <v>-64</v>
      </c>
      <c r="E37" s="43">
        <f>+E21</f>
        <v>93</v>
      </c>
      <c r="F37" s="43">
        <f>+F21-E21</f>
        <v>-3</v>
      </c>
      <c r="G37" s="43">
        <f>+G21-F21</f>
        <v>62</v>
      </c>
      <c r="H37" s="43">
        <f>+H21-G21</f>
        <v>50</v>
      </c>
      <c r="I37" s="43">
        <f>+I21</f>
        <v>108</v>
      </c>
      <c r="J37" s="43">
        <f>+J21-I21</f>
        <v>68</v>
      </c>
      <c r="K37" s="43">
        <f>+K21-J21</f>
        <v>47</v>
      </c>
      <c r="L37" s="43">
        <f>+L21-K21</f>
        <v>76</v>
      </c>
      <c r="M37" s="43">
        <f>+M21</f>
        <v>94</v>
      </c>
      <c r="N37" s="43">
        <f>+N21-M21</f>
        <v>95</v>
      </c>
      <c r="O37" s="43">
        <f>+O21-N21</f>
        <v>93</v>
      </c>
      <c r="P37" s="43">
        <f>+P21-O21</f>
        <v>80</v>
      </c>
      <c r="Q37" s="43">
        <f>+Q21</f>
        <v>97</v>
      </c>
      <c r="R37" s="43">
        <f>+R21-Q21</f>
        <v>97</v>
      </c>
      <c r="S37" s="43">
        <f>+S21-R21</f>
        <v>68</v>
      </c>
      <c r="T37" s="43">
        <f>+T21-S21</f>
        <v>19</v>
      </c>
      <c r="U37" s="43">
        <f>+U21</f>
        <v>121</v>
      </c>
      <c r="V37" s="43">
        <f>+V21-U21</f>
        <v>-101</v>
      </c>
      <c r="W37" s="43">
        <f>+W21-V21</f>
        <v>39</v>
      </c>
      <c r="X37" s="43">
        <f>+X21-W21</f>
        <v>-49</v>
      </c>
      <c r="Y37" s="43">
        <f>+Y21</f>
        <v>169</v>
      </c>
      <c r="Z37" s="43">
        <f>+Z21-Y21</f>
        <v>82</v>
      </c>
      <c r="AA37" s="43">
        <f>+AA21-Z21</f>
        <v>84</v>
      </c>
      <c r="AB37" s="43">
        <f>+AB21-AA21</f>
        <v>-147</v>
      </c>
      <c r="AC37" s="43">
        <f>+AC21</f>
        <v>74</v>
      </c>
      <c r="AD37" s="43">
        <f>+AD21-AC21</f>
        <v>83</v>
      </c>
      <c r="AE37" s="43">
        <f>+AE21-AD21</f>
        <v>90</v>
      </c>
      <c r="AF37" s="43">
        <f>+AF21-AE21</f>
        <v>47</v>
      </c>
      <c r="AG37" s="43">
        <f>+AG21</f>
        <v>187</v>
      </c>
      <c r="AH37" s="43">
        <f>+AH21-AG21</f>
        <v>112</v>
      </c>
      <c r="AI37" s="43">
        <f>+AI21-AH21</f>
        <v>50</v>
      </c>
      <c r="AJ37" s="43">
        <f>+AJ21-AI21</f>
        <v>180</v>
      </c>
      <c r="AK37" s="43">
        <f>+AK21</f>
        <v>223</v>
      </c>
      <c r="AL37" s="43">
        <f>+AL21-AK21</f>
        <v>262</v>
      </c>
      <c r="AM37" s="43">
        <f>+AM21-AL21</f>
        <v>198</v>
      </c>
      <c r="AN37" s="43">
        <f>+AN21-AM21</f>
        <v>322</v>
      </c>
      <c r="AO37" s="43">
        <f>+AO21</f>
        <v>295.5</v>
      </c>
      <c r="AP37" s="43">
        <f>+AP21-AO21</f>
        <v>297.5</v>
      </c>
      <c r="AQ37" s="43">
        <f>+AQ21-AP21</f>
        <v>388.93399999999997</v>
      </c>
      <c r="AR37" s="43">
        <f>+AR21-AQ21</f>
        <v>519.25400000000013</v>
      </c>
      <c r="AS37" s="43">
        <f>+AS21</f>
        <v>942.63599999999997</v>
      </c>
      <c r="AT37" s="43">
        <f>+AT21-AS21</f>
        <v>454.72199999999998</v>
      </c>
      <c r="AU37" s="43">
        <f>+AU21-AT21</f>
        <v>401.83300000000008</v>
      </c>
      <c r="AV37" s="4">
        <f>+AV21-AU21</f>
        <v>121.85699999999997</v>
      </c>
    </row>
    <row r="38" spans="1:48" ht="15" customHeight="1" x14ac:dyDescent="0.25">
      <c r="B38" s="25" t="s">
        <v>68</v>
      </c>
      <c r="C38" s="46">
        <f t="shared" ref="C38" si="58">+C37/C32</f>
        <v>0.13644848251094316</v>
      </c>
      <c r="D38" s="46">
        <f t="shared" ref="D38" si="59">+D37/D32</f>
        <v>-8.6601643266180972E-2</v>
      </c>
      <c r="E38" s="46">
        <f t="shared" ref="E38" si="60">+E37/E32</f>
        <v>0.14441330155205478</v>
      </c>
      <c r="F38" s="46">
        <f t="shared" ref="F38" si="61">+F37/F32</f>
        <v>-5.3644711078526912E-3</v>
      </c>
      <c r="G38" s="46">
        <f t="shared" ref="G38" si="62">+G37/G32</f>
        <v>0.1035514817883007</v>
      </c>
      <c r="H38" s="46">
        <f t="shared" ref="H38" si="63">+H37/H32</f>
        <v>9.1229222544565489E-2</v>
      </c>
      <c r="I38" s="46">
        <f t="shared" ref="I38" si="64">+I37/I32</f>
        <v>0.17939811930971589</v>
      </c>
      <c r="J38" s="46">
        <f t="shared" ref="J38" si="65">+J37/J32</f>
        <v>0.13563892917054798</v>
      </c>
      <c r="K38" s="46">
        <f t="shared" ref="K38" si="66">+K37/K32</f>
        <v>8.7810911346477574E-2</v>
      </c>
      <c r="L38" s="46">
        <f t="shared" ref="L38" si="67">+L37/L32</f>
        <v>0.12196707210019271</v>
      </c>
      <c r="M38" s="46">
        <f t="shared" ref="M38" si="68">+M37/M32</f>
        <v>0.13626209869724737</v>
      </c>
      <c r="N38" s="46">
        <f t="shared" ref="N38" si="69">+N37/N32</f>
        <v>0.13505828831390387</v>
      </c>
      <c r="O38" s="46">
        <f t="shared" ref="O38" si="70">+O37/O32</f>
        <v>0.11697686499486186</v>
      </c>
      <c r="P38" s="46">
        <f t="shared" ref="P38" si="71">+P37/P32</f>
        <v>7.8204044126631886E-2</v>
      </c>
      <c r="Q38" s="46">
        <f t="shared" ref="Q38" si="72">+Q37/Q32</f>
        <v>9.6982640107420776E-2</v>
      </c>
      <c r="R38" s="46">
        <f t="shared" ref="R38" si="73">+R37/R32</f>
        <v>9.9961973228740814E-2</v>
      </c>
      <c r="S38" s="46">
        <f t="shared" ref="S38" si="74">+S37/S32</f>
        <v>7.1332661967103056E-2</v>
      </c>
      <c r="T38" s="46">
        <f t="shared" ref="T38" si="75">+T37/T32</f>
        <v>1.853823119906255E-2</v>
      </c>
      <c r="U38" s="46">
        <f t="shared" ref="U38" si="76">+U37/U32</f>
        <v>0.11430946690221346</v>
      </c>
      <c r="V38" s="46">
        <f t="shared" ref="V38" si="77">+V37/V32</f>
        <v>-0.1114913345843912</v>
      </c>
      <c r="W38" s="46">
        <f t="shared" ref="W38" si="78">+W37/W32</f>
        <v>4.3042461940530762E-2</v>
      </c>
      <c r="X38" s="46">
        <f t="shared" ref="X38" si="79">+X37/X32</f>
        <v>-5.022941516559306E-2</v>
      </c>
      <c r="Y38" s="46">
        <f t="shared" ref="Y38" si="80">+Y37/Y32</f>
        <v>0.14714153622729101</v>
      </c>
      <c r="Z38" s="46">
        <f t="shared" ref="Z38" si="81">+Z37/Z32</f>
        <v>8.253009077303522E-2</v>
      </c>
      <c r="AA38" s="46">
        <f t="shared" ref="AA38" si="82">+AA37/AA32</f>
        <v>7.9640631133039652E-2</v>
      </c>
      <c r="AB38" s="46">
        <f t="shared" ref="AB38" si="83">+AB37/AB32</f>
        <v>-0.11503373540362756</v>
      </c>
      <c r="AC38" s="46">
        <f t="shared" ref="AC38" si="84">+AC37/AC32</f>
        <v>6.7815746449754036E-2</v>
      </c>
      <c r="AD38" s="46">
        <f t="shared" ref="AD38" si="85">+AD37/AD32</f>
        <v>8.7461406337263833E-2</v>
      </c>
      <c r="AE38" s="46">
        <f t="shared" ref="AE38" si="86">+AE37/AE32</f>
        <v>0.11159980804833013</v>
      </c>
      <c r="AF38" s="46">
        <f t="shared" ref="AF38" si="87">+AF37/AF32</f>
        <v>4.512561723683365E-2</v>
      </c>
      <c r="AG38" s="46">
        <f t="shared" ref="AG38" si="88">+AG37/AG32</f>
        <v>0.13615140035719719</v>
      </c>
      <c r="AH38" s="46">
        <f t="shared" ref="AH38" si="89">+AH37/AH32</f>
        <v>0.1051822940633986</v>
      </c>
      <c r="AI38" s="46">
        <f t="shared" ref="AI38" si="90">+AI37/AI32</f>
        <v>5.1250302376784032E-2</v>
      </c>
      <c r="AJ38" s="46">
        <f t="shared" ref="AJ38" si="91">+AJ37/AJ32</f>
        <v>0.13600261125013602</v>
      </c>
      <c r="AK38" s="46">
        <f t="shared" ref="AK38" si="92">+AK37/AK32</f>
        <v>0.13622688190106752</v>
      </c>
      <c r="AL38" s="46">
        <f t="shared" ref="AL38" si="93">+AL37/AL32</f>
        <v>0.15345670002495135</v>
      </c>
      <c r="AM38" s="46">
        <f>+AM37/AM32</f>
        <v>0.11470879607904479</v>
      </c>
      <c r="AN38" s="46">
        <f>+AN37/AN32</f>
        <v>0.13323810808507047</v>
      </c>
      <c r="AO38" s="46">
        <f t="shared" ref="AO38:AR38" si="94">+AO37/AO32</f>
        <v>0.13041008787124397</v>
      </c>
      <c r="AP38" s="46">
        <f t="shared" si="94"/>
        <v>0.1048798570390601</v>
      </c>
      <c r="AQ38" s="46">
        <f t="shared" si="94"/>
        <v>0.11945283162001534</v>
      </c>
      <c r="AR38" s="46">
        <f t="shared" si="94"/>
        <v>0.13705334283527332</v>
      </c>
      <c r="AS38" s="46">
        <f t="shared" ref="AS38:AV38" si="95">+AS37/AS32</f>
        <v>0.20548022246646194</v>
      </c>
      <c r="AT38" s="46">
        <f t="shared" si="95"/>
        <v>0.12228953005388063</v>
      </c>
      <c r="AU38" s="46">
        <f t="shared" si="95"/>
        <v>0.13435042989944271</v>
      </c>
      <c r="AV38" s="89">
        <f t="shared" si="95"/>
        <v>3.6853338188359494E-2</v>
      </c>
    </row>
    <row r="39" spans="1:48" ht="15" customHeight="1" x14ac:dyDescent="0.25">
      <c r="B39" s="41" t="s">
        <v>71</v>
      </c>
      <c r="C39" s="48">
        <v>6.5000000000000002E-2</v>
      </c>
      <c r="D39" s="48">
        <f>+D23-C23</f>
        <v>-60.677999999999997</v>
      </c>
      <c r="E39" s="48">
        <f>+E23</f>
        <v>-53.152000000000001</v>
      </c>
      <c r="F39" s="48">
        <f t="shared" ref="D39:H40" si="96">+F23-E23</f>
        <v>17.188000000000002</v>
      </c>
      <c r="G39" s="48">
        <f t="shared" si="96"/>
        <v>7.3609999999999971</v>
      </c>
      <c r="H39" s="48">
        <f t="shared" si="96"/>
        <v>1.5609999999999999</v>
      </c>
      <c r="I39" s="48">
        <f>+I23</f>
        <v>-2.8839999999999999</v>
      </c>
      <c r="J39" s="48">
        <f t="shared" ref="J39:L40" si="97">+J23-I23</f>
        <v>-0.88700000000000001</v>
      </c>
      <c r="K39" s="48">
        <f t="shared" si="97"/>
        <v>18.27</v>
      </c>
      <c r="L39" s="48">
        <f t="shared" si="97"/>
        <v>-0.16300000000000026</v>
      </c>
      <c r="M39" s="48">
        <f>+M23</f>
        <v>17.649999999999999</v>
      </c>
      <c r="N39" s="48">
        <f t="shared" ref="N39:P40" si="98">+N23-M23</f>
        <v>5.5430000000000028</v>
      </c>
      <c r="O39" s="48">
        <f t="shared" si="98"/>
        <v>-16.869</v>
      </c>
      <c r="P39" s="48">
        <f t="shared" si="98"/>
        <v>2.8659999999999997</v>
      </c>
      <c r="Q39" s="48">
        <f>+Q23</f>
        <v>5.8170000000000002</v>
      </c>
      <c r="R39" s="48">
        <f t="shared" ref="R39:T40" si="99">+R23-Q23</f>
        <v>9.0060000000000002</v>
      </c>
      <c r="S39" s="48">
        <f t="shared" si="99"/>
        <v>4.2409999999999997</v>
      </c>
      <c r="T39" s="48">
        <f t="shared" si="99"/>
        <v>1.7959999999999994</v>
      </c>
      <c r="U39" s="48">
        <f>+U23</f>
        <v>10.382999999999999</v>
      </c>
      <c r="V39" s="48">
        <f t="shared" ref="V39:X40" si="100">+V23-U23</f>
        <v>18.094000000000001</v>
      </c>
      <c r="W39" s="48">
        <f t="shared" si="100"/>
        <v>13.840999999999998</v>
      </c>
      <c r="X39" s="48">
        <f t="shared" si="100"/>
        <v>30.269000000000005</v>
      </c>
      <c r="Y39" s="48">
        <f>+Y23</f>
        <v>24.376000000000001</v>
      </c>
      <c r="Z39" s="48">
        <f t="shared" ref="Z39:AB40" si="101">+Z23-Y23</f>
        <v>-1.6300000000000026</v>
      </c>
      <c r="AA39" s="48">
        <f t="shared" si="101"/>
        <v>22.385000000000002</v>
      </c>
      <c r="AB39" s="48">
        <f t="shared" si="101"/>
        <v>14.159999999999997</v>
      </c>
      <c r="AC39" s="48">
        <f>+AC23</f>
        <v>48.314</v>
      </c>
      <c r="AD39" s="48">
        <f t="shared" ref="AD39:AF40" si="102">+AD23-AC23</f>
        <v>26.729000000000006</v>
      </c>
      <c r="AE39" s="48">
        <f t="shared" si="102"/>
        <v>56.746999999999986</v>
      </c>
      <c r="AF39" s="48">
        <f t="shared" si="102"/>
        <v>-5.3459999999999894</v>
      </c>
      <c r="AG39" s="48">
        <f>+AG23</f>
        <v>-7.085</v>
      </c>
      <c r="AH39" s="48">
        <f t="shared" ref="AH39:AJ40" si="103">+AH23-AG23</f>
        <v>18.335999999999999</v>
      </c>
      <c r="AI39" s="48">
        <f t="shared" si="103"/>
        <v>16.04</v>
      </c>
      <c r="AJ39" s="48">
        <f t="shared" si="103"/>
        <v>85.119</v>
      </c>
      <c r="AK39" s="48">
        <f>+AK23</f>
        <v>35.155999999999999</v>
      </c>
      <c r="AL39" s="48">
        <f t="shared" ref="AL39:AV42" si="104">+AL23-AK23</f>
        <v>-14.171999999999997</v>
      </c>
      <c r="AM39" s="48">
        <f t="shared" si="104"/>
        <v>22.369999999999997</v>
      </c>
      <c r="AN39" s="48">
        <f t="shared" si="104"/>
        <v>63.32799999999996</v>
      </c>
      <c r="AO39" s="48">
        <f>+AO23</f>
        <v>69.599999999999994</v>
      </c>
      <c r="AP39" s="48">
        <f t="shared" si="104"/>
        <v>170.20700000000002</v>
      </c>
      <c r="AQ39" s="48">
        <f t="shared" si="104"/>
        <v>415.90700000000015</v>
      </c>
      <c r="AR39" s="48">
        <f t="shared" si="104"/>
        <v>-147.69000000000017</v>
      </c>
      <c r="AS39" s="48">
        <f>+AS23</f>
        <v>109.654</v>
      </c>
      <c r="AT39" s="48">
        <f t="shared" si="104"/>
        <v>58.427000000000021</v>
      </c>
      <c r="AU39" s="48">
        <f t="shared" si="104"/>
        <v>-0.41599999999999682</v>
      </c>
      <c r="AV39" s="85">
        <f t="shared" si="104"/>
        <v>63.249000000000024</v>
      </c>
    </row>
    <row r="40" spans="1:48" ht="15" customHeight="1" x14ac:dyDescent="0.25">
      <c r="B40" s="80" t="s">
        <v>186</v>
      </c>
      <c r="C40" s="48"/>
      <c r="D40" s="82">
        <f t="shared" si="96"/>
        <v>-155</v>
      </c>
      <c r="E40" s="82">
        <f>+E24</f>
        <v>24</v>
      </c>
      <c r="F40" s="82">
        <f t="shared" si="96"/>
        <v>-4</v>
      </c>
      <c r="G40" s="82">
        <f t="shared" si="96"/>
        <v>47</v>
      </c>
      <c r="H40" s="82">
        <f t="shared" si="96"/>
        <v>31</v>
      </c>
      <c r="I40" s="82">
        <f>+I24</f>
        <v>84</v>
      </c>
      <c r="J40" s="82">
        <f t="shared" si="97"/>
        <v>54</v>
      </c>
      <c r="K40" s="82">
        <f t="shared" si="97"/>
        <v>50</v>
      </c>
      <c r="L40" s="82">
        <f t="shared" si="97"/>
        <v>52</v>
      </c>
      <c r="M40" s="82">
        <f>+M24</f>
        <v>97</v>
      </c>
      <c r="N40" s="82">
        <f t="shared" si="98"/>
        <v>87</v>
      </c>
      <c r="O40" s="82">
        <f t="shared" si="98"/>
        <v>59</v>
      </c>
      <c r="P40" s="82">
        <f t="shared" si="98"/>
        <v>68</v>
      </c>
      <c r="Q40" s="82">
        <f>+Q24</f>
        <v>112</v>
      </c>
      <c r="R40" s="82">
        <f t="shared" si="99"/>
        <v>78</v>
      </c>
      <c r="S40" s="82">
        <f t="shared" si="99"/>
        <v>50</v>
      </c>
      <c r="T40" s="82">
        <f t="shared" si="99"/>
        <v>123</v>
      </c>
      <c r="U40" s="82">
        <f>+U24</f>
        <v>172</v>
      </c>
      <c r="V40" s="82">
        <f t="shared" si="100"/>
        <v>-133</v>
      </c>
      <c r="W40" s="82">
        <f t="shared" si="100"/>
        <v>13</v>
      </c>
      <c r="X40" s="82">
        <f t="shared" si="100"/>
        <v>-57</v>
      </c>
      <c r="Y40" s="82">
        <f>+Y24</f>
        <v>172</v>
      </c>
      <c r="Z40" s="82">
        <f t="shared" si="101"/>
        <v>64</v>
      </c>
      <c r="AA40" s="82">
        <f t="shared" si="101"/>
        <v>79</v>
      </c>
      <c r="AB40" s="82">
        <f t="shared" si="101"/>
        <v>-219</v>
      </c>
      <c r="AC40" s="82">
        <f>+AC24</f>
        <v>88</v>
      </c>
      <c r="AD40" s="82">
        <f t="shared" si="102"/>
        <v>57</v>
      </c>
      <c r="AE40" s="82">
        <f t="shared" si="102"/>
        <v>70</v>
      </c>
      <c r="AF40" s="82">
        <f t="shared" si="102"/>
        <v>45</v>
      </c>
      <c r="AG40" s="82">
        <f>+AG24</f>
        <v>168</v>
      </c>
      <c r="AH40" s="82">
        <f t="shared" si="103"/>
        <v>105</v>
      </c>
      <c r="AI40" s="82">
        <f t="shared" si="103"/>
        <v>18</v>
      </c>
      <c r="AJ40" s="82">
        <f t="shared" si="103"/>
        <v>148</v>
      </c>
      <c r="AK40" s="82">
        <f>+AK24</f>
        <v>207</v>
      </c>
      <c r="AL40" s="82">
        <f t="shared" si="104"/>
        <v>264</v>
      </c>
      <c r="AM40" s="82">
        <f t="shared" si="104"/>
        <v>156</v>
      </c>
      <c r="AN40" s="82">
        <f t="shared" si="104"/>
        <v>275</v>
      </c>
      <c r="AO40" s="82">
        <f>+AO24</f>
        <v>289.13299999999998</v>
      </c>
      <c r="AP40" s="82">
        <f t="shared" ref="AP40" si="105">+AP24-AO24</f>
        <v>340.86700000000002</v>
      </c>
      <c r="AQ40" s="82">
        <f t="shared" si="104"/>
        <v>525.60200000000168</v>
      </c>
      <c r="AR40" s="82">
        <f t="shared" ref="AR40" si="106">+AR24-AQ24</f>
        <v>485.39799999999832</v>
      </c>
      <c r="AS40" s="82">
        <f>+AS24</f>
        <v>971.05499999999995</v>
      </c>
      <c r="AT40" s="82">
        <f t="shared" si="104"/>
        <v>489.57000000000005</v>
      </c>
      <c r="AU40" s="82">
        <f t="shared" si="104"/>
        <v>333.2650000000001</v>
      </c>
      <c r="AV40" s="92">
        <f t="shared" si="104"/>
        <v>-16.883000000000038</v>
      </c>
    </row>
    <row r="41" spans="1:48" ht="15" customHeight="1" x14ac:dyDescent="0.25">
      <c r="B41" s="41" t="s">
        <v>72</v>
      </c>
      <c r="C41" s="48">
        <v>-12.629</v>
      </c>
      <c r="D41" s="48">
        <f>+D25-C25</f>
        <v>27.233000000000004</v>
      </c>
      <c r="E41" s="48">
        <f>+E25</f>
        <v>-18.285</v>
      </c>
      <c r="F41" s="48">
        <f t="shared" ref="F41:H41" si="107">+F25-E25</f>
        <v>11.209</v>
      </c>
      <c r="G41" s="48">
        <f t="shared" si="107"/>
        <v>-3.8680000000000012</v>
      </c>
      <c r="H41" s="48">
        <f t="shared" si="107"/>
        <v>-18.313000000000002</v>
      </c>
      <c r="I41" s="48">
        <f>+I25</f>
        <v>-17.510999999999999</v>
      </c>
      <c r="J41" s="48">
        <f t="shared" ref="J41:L41" si="108">+J25-I25</f>
        <v>-13.845000000000002</v>
      </c>
      <c r="K41" s="48">
        <f t="shared" si="108"/>
        <v>-9.4110000000000014</v>
      </c>
      <c r="L41" s="48">
        <f t="shared" si="108"/>
        <v>-21.266999999999996</v>
      </c>
      <c r="M41" s="48">
        <f>+M25</f>
        <v>-20.541</v>
      </c>
      <c r="N41" s="48">
        <f t="shared" ref="N41:P41" si="109">+N25-M25</f>
        <v>-19.799000000000003</v>
      </c>
      <c r="O41" s="48">
        <f t="shared" si="109"/>
        <v>-5.8689999999999998</v>
      </c>
      <c r="P41" s="48">
        <f t="shared" si="109"/>
        <v>-22.631999999999991</v>
      </c>
      <c r="Q41" s="48">
        <f>+Q25</f>
        <v>-19.131</v>
      </c>
      <c r="R41" s="48">
        <f t="shared" ref="R41:T41" si="110">+R25-Q25</f>
        <v>-20.36</v>
      </c>
      <c r="S41" s="48">
        <f t="shared" si="110"/>
        <v>-2.8179999999999978</v>
      </c>
      <c r="T41" s="48">
        <f t="shared" si="110"/>
        <v>-20.028000000000006</v>
      </c>
      <c r="U41" s="48">
        <f>+U25</f>
        <v>-25.141999999999999</v>
      </c>
      <c r="V41" s="48">
        <f t="shared" ref="V41:X41" si="111">+V25-U25</f>
        <v>-8.1350000000000016</v>
      </c>
      <c r="W41" s="48">
        <f t="shared" si="111"/>
        <v>-12.689999999999998</v>
      </c>
      <c r="X41" s="48">
        <f t="shared" si="111"/>
        <v>-12.566000000000003</v>
      </c>
      <c r="Y41" s="48">
        <f>+Y25</f>
        <v>-29.1</v>
      </c>
      <c r="Z41" s="48">
        <f t="shared" ref="Z41:AB41" si="112">+Z25-Y25</f>
        <v>-23.138999999999996</v>
      </c>
      <c r="AA41" s="48">
        <f t="shared" si="112"/>
        <v>-9.2090000000000032</v>
      </c>
      <c r="AB41" s="48">
        <f t="shared" si="112"/>
        <v>23.61</v>
      </c>
      <c r="AC41" s="48">
        <f>+AC25</f>
        <v>-2.9940000000000002</v>
      </c>
      <c r="AD41" s="48">
        <f t="shared" ref="AD41:AF41" si="113">+AD25-AC25</f>
        <v>-26.873999999999999</v>
      </c>
      <c r="AE41" s="48">
        <f t="shared" si="113"/>
        <v>-26.878000000000004</v>
      </c>
      <c r="AF41" s="48">
        <f t="shared" si="113"/>
        <v>-9.7779999999999987</v>
      </c>
      <c r="AG41" s="48">
        <f>+AG25</f>
        <v>-18.321000000000002</v>
      </c>
      <c r="AH41" s="48">
        <f t="shared" ref="AH41:AJ41" si="114">+AH25-AG25</f>
        <v>-30.519000000000002</v>
      </c>
      <c r="AI41" s="48">
        <f t="shared" si="114"/>
        <v>-28.102999999999994</v>
      </c>
      <c r="AJ41" s="48">
        <f t="shared" si="114"/>
        <v>-31.671999999999997</v>
      </c>
      <c r="AK41" s="48">
        <f>+AK25</f>
        <v>-46.134</v>
      </c>
      <c r="AL41" s="48">
        <f t="shared" ref="AL41:AT41" si="115">+AL25-AK25</f>
        <v>-39.590000000000003</v>
      </c>
      <c r="AM41" s="48">
        <f t="shared" si="115"/>
        <v>-24.963999999999999</v>
      </c>
      <c r="AN41" s="48">
        <f t="shared" si="115"/>
        <v>-20.838000000000008</v>
      </c>
      <c r="AO41" s="48">
        <f>+AO25</f>
        <v>-48.1</v>
      </c>
      <c r="AP41" s="48">
        <f t="shared" si="115"/>
        <v>-61.65</v>
      </c>
      <c r="AQ41" s="48">
        <f t="shared" si="104"/>
        <v>-77.436000000000007</v>
      </c>
      <c r="AR41" s="48">
        <f t="shared" si="115"/>
        <v>-52.663999999999987</v>
      </c>
      <c r="AS41" s="48">
        <f>+AS25</f>
        <v>-190.15</v>
      </c>
      <c r="AT41" s="48">
        <f t="shared" si="115"/>
        <v>-91.114000000000004</v>
      </c>
      <c r="AU41" s="48">
        <f t="shared" si="104"/>
        <v>-76.276999999999987</v>
      </c>
      <c r="AV41" s="85">
        <f t="shared" si="104"/>
        <v>-4.6070000000000277</v>
      </c>
    </row>
    <row r="42" spans="1:48" ht="15" customHeight="1" x14ac:dyDescent="0.25">
      <c r="B42" s="54" t="s">
        <v>73</v>
      </c>
      <c r="C42" s="55">
        <v>44.960999999999999</v>
      </c>
      <c r="D42" s="55">
        <f>+D26-C26</f>
        <v>-127.29299999999999</v>
      </c>
      <c r="E42" s="55">
        <f>+E26</f>
        <v>5.7949999999999999</v>
      </c>
      <c r="F42" s="55">
        <f t="shared" ref="F42:H42" si="116">+F26-E26</f>
        <v>6.7989999999999995</v>
      </c>
      <c r="G42" s="55">
        <f t="shared" si="116"/>
        <v>44.116999999999997</v>
      </c>
      <c r="H42" s="55">
        <f t="shared" si="116"/>
        <v>12.632999999999996</v>
      </c>
      <c r="I42" s="55">
        <f>+I26</f>
        <v>66.81</v>
      </c>
      <c r="J42" s="55">
        <f t="shared" ref="J42:L42" si="117">+J26-I26</f>
        <v>39.777999999999992</v>
      </c>
      <c r="K42" s="55">
        <f t="shared" si="117"/>
        <v>40.647999999999996</v>
      </c>
      <c r="L42" s="55">
        <f t="shared" si="117"/>
        <v>31.344000000000023</v>
      </c>
      <c r="M42" s="55">
        <f>+M26</f>
        <v>76.341999999999999</v>
      </c>
      <c r="N42" s="55">
        <f t="shared" ref="N42:P42" si="118">+N26-M26</f>
        <v>66.998000000000005</v>
      </c>
      <c r="O42" s="55">
        <f t="shared" si="118"/>
        <v>53.86699999999999</v>
      </c>
      <c r="P42" s="55">
        <f t="shared" si="118"/>
        <v>45.233000000000004</v>
      </c>
      <c r="Q42" s="55">
        <f>+Q26</f>
        <v>92.372</v>
      </c>
      <c r="R42" s="55">
        <f t="shared" ref="R42:T42" si="119">+R26-Q26</f>
        <v>56.845000000000013</v>
      </c>
      <c r="S42" s="55">
        <f t="shared" si="119"/>
        <v>48.623999999999995</v>
      </c>
      <c r="T42" s="55">
        <f t="shared" si="119"/>
        <v>101.464</v>
      </c>
      <c r="U42" s="55">
        <f>+U26</f>
        <v>147.15</v>
      </c>
      <c r="V42" s="55">
        <f t="shared" ref="V42:X42" si="120">+V26-U26</f>
        <v>-141.25700000000001</v>
      </c>
      <c r="W42" s="55">
        <f t="shared" si="120"/>
        <v>-3.5000000000000142E-2</v>
      </c>
      <c r="X42" s="55">
        <f t="shared" si="120"/>
        <v>-70.119</v>
      </c>
      <c r="Y42" s="55">
        <f>+Y26</f>
        <v>142.38200000000001</v>
      </c>
      <c r="Z42" s="55">
        <f t="shared" ref="Z42:AB42" si="121">+Z26-Y26</f>
        <v>41.567999999999984</v>
      </c>
      <c r="AA42" s="55">
        <f t="shared" si="121"/>
        <v>69.444000000000017</v>
      </c>
      <c r="AB42" s="55">
        <f t="shared" si="121"/>
        <v>-197.48500000000001</v>
      </c>
      <c r="AC42" s="55">
        <f>+AC26</f>
        <v>84.007000000000005</v>
      </c>
      <c r="AD42" s="55">
        <f t="shared" ref="AD42:AF42" si="122">+AD26-AC26</f>
        <v>29.095999999999989</v>
      </c>
      <c r="AE42" s="55">
        <f t="shared" si="122"/>
        <v>40.700000000000003</v>
      </c>
      <c r="AF42" s="55">
        <f t="shared" si="122"/>
        <v>31.663000000000011</v>
      </c>
      <c r="AG42" s="55">
        <f>+AG26</f>
        <v>148.87799999999999</v>
      </c>
      <c r="AH42" s="55">
        <f t="shared" ref="AH42:AJ42" si="123">+AH26-AG26</f>
        <v>72.606000000000023</v>
      </c>
      <c r="AI42" s="55">
        <f t="shared" si="123"/>
        <v>-11.512</v>
      </c>
      <c r="AJ42" s="55">
        <f t="shared" si="123"/>
        <v>114.43899999999999</v>
      </c>
      <c r="AK42" s="55">
        <f>+AK26</f>
        <v>161.71799999999999</v>
      </c>
      <c r="AL42" s="55">
        <f t="shared" ref="AL42:AT42" si="124">+AL26-AK26</f>
        <v>223.864</v>
      </c>
      <c r="AM42" s="55">
        <f t="shared" si="124"/>
        <v>130.81399999999996</v>
      </c>
      <c r="AN42" s="55">
        <f t="shared" si="124"/>
        <v>254.33199999999999</v>
      </c>
      <c r="AO42" s="55">
        <f>+AO26</f>
        <v>241.1</v>
      </c>
      <c r="AP42" s="55">
        <f t="shared" si="124"/>
        <v>279.29200000000003</v>
      </c>
      <c r="AQ42" s="84">
        <v>446.79700000000003</v>
      </c>
      <c r="AR42" s="55">
        <f t="shared" si="124"/>
        <v>433.58299999999838</v>
      </c>
      <c r="AS42" s="55">
        <f>+AS26</f>
        <v>780.90499999999997</v>
      </c>
      <c r="AT42" s="55">
        <f t="shared" si="124"/>
        <v>398.45600000000013</v>
      </c>
      <c r="AU42" s="55">
        <f t="shared" si="104"/>
        <v>256.98799999999983</v>
      </c>
      <c r="AV42" s="55">
        <f t="shared" si="104"/>
        <v>-21.490000000000009</v>
      </c>
    </row>
    <row r="43" spans="1:48" ht="15" customHeight="1" x14ac:dyDescent="0.25">
      <c r="A43" s="65" t="s">
        <v>165</v>
      </c>
      <c r="B43" s="56" t="s">
        <v>68</v>
      </c>
      <c r="C43" s="57">
        <f t="shared" ref="C43:AM43" si="125">+C42/C32</f>
        <v>8.1798136295660212E-2</v>
      </c>
      <c r="D43" s="57">
        <f t="shared" si="125"/>
        <v>-0.17224660900440583</v>
      </c>
      <c r="E43" s="57">
        <f t="shared" si="125"/>
        <v>8.9986568010124463E-3</v>
      </c>
      <c r="F43" s="57">
        <f t="shared" si="125"/>
        <v>1.2157679687430149E-2</v>
      </c>
      <c r="G43" s="57">
        <f t="shared" si="125"/>
        <v>7.3683560033136489E-2</v>
      </c>
      <c r="H43" s="57">
        <f t="shared" si="125"/>
        <v>2.3049975368109907E-2</v>
      </c>
      <c r="I43" s="57">
        <f t="shared" si="125"/>
        <v>0.11097766991742702</v>
      </c>
      <c r="J43" s="57">
        <f t="shared" si="125"/>
        <v>7.9344784184500833E-2</v>
      </c>
      <c r="K43" s="57">
        <f t="shared" si="125"/>
        <v>7.5943360093864251E-2</v>
      </c>
      <c r="L43" s="57">
        <f t="shared" si="125"/>
        <v>5.0301788261953202E-2</v>
      </c>
      <c r="M43" s="57">
        <f t="shared" si="125"/>
        <v>0.11066511849728998</v>
      </c>
      <c r="N43" s="57">
        <f t="shared" si="125"/>
        <v>9.5248791583736128E-2</v>
      </c>
      <c r="O43" s="57">
        <f t="shared" si="125"/>
        <v>6.7754761147077666E-2</v>
      </c>
      <c r="P43" s="57">
        <f t="shared" si="125"/>
        <v>4.4217544099749255E-2</v>
      </c>
      <c r="Q43" s="57">
        <f t="shared" si="125"/>
        <v>9.235546837116157E-2</v>
      </c>
      <c r="R43" s="57">
        <f t="shared" si="125"/>
        <v>5.8580807919461575E-2</v>
      </c>
      <c r="S43" s="57">
        <f t="shared" si="125"/>
        <v>5.1007049345417922E-2</v>
      </c>
      <c r="T43" s="57">
        <f t="shared" si="125"/>
        <v>9.89980573885096E-2</v>
      </c>
      <c r="U43" s="57">
        <f t="shared" si="125"/>
        <v>0.13901353764182406</v>
      </c>
      <c r="V43" s="57">
        <f t="shared" si="125"/>
        <v>-0.15593001435036979</v>
      </c>
      <c r="W43" s="57">
        <f t="shared" si="125"/>
        <v>-3.8627850459450843E-5</v>
      </c>
      <c r="X43" s="57">
        <f t="shared" si="125"/>
        <v>-7.1878293101963669E-2</v>
      </c>
      <c r="Y43" s="57">
        <f t="shared" si="125"/>
        <v>0.12396630894150383</v>
      </c>
      <c r="Z43" s="57">
        <f t="shared" si="125"/>
        <v>4.1836717234799106E-2</v>
      </c>
      <c r="AA43" s="57">
        <f t="shared" si="125"/>
        <v>6.5840047480985792E-2</v>
      </c>
      <c r="AB43" s="57">
        <f t="shared" si="125"/>
        <v>-0.15454038936180536</v>
      </c>
      <c r="AC43" s="57">
        <f t="shared" si="125"/>
        <v>7.6986451513574153E-2</v>
      </c>
      <c r="AD43" s="57">
        <f t="shared" si="125"/>
        <v>3.0659964804687075E-2</v>
      </c>
      <c r="AE43" s="57">
        <f t="shared" si="125"/>
        <v>5.0467913195189298E-2</v>
      </c>
      <c r="AF43" s="57">
        <f t="shared" si="125"/>
        <v>3.0400264224890731E-2</v>
      </c>
      <c r="AG43" s="57">
        <f t="shared" si="125"/>
        <v>0.1083954448255551</v>
      </c>
      <c r="AH43" s="57">
        <f t="shared" si="125"/>
        <v>6.8186300381849307E-2</v>
      </c>
      <c r="AI43" s="57">
        <f t="shared" si="125"/>
        <v>-1.1799869619230756E-2</v>
      </c>
      <c r="AJ43" s="57">
        <f t="shared" si="125"/>
        <v>8.6466682382523974E-2</v>
      </c>
      <c r="AK43" s="57">
        <f t="shared" si="125"/>
        <v>9.8790757342048591E-2</v>
      </c>
      <c r="AL43" s="57">
        <f t="shared" si="125"/>
        <v>0.13111996448238819</v>
      </c>
      <c r="AM43" s="57">
        <f t="shared" si="125"/>
        <v>7.5785436617596763E-2</v>
      </c>
      <c r="AN43" s="57">
        <f t="shared" ref="AN43:AR43" si="126">+AN42/AN32</f>
        <v>0.10523824380587622</v>
      </c>
      <c r="AO43" s="57">
        <f t="shared" si="126"/>
        <v>0.10640227474029415</v>
      </c>
      <c r="AP43" s="57">
        <f t="shared" si="126"/>
        <v>9.8460857250935035E-2</v>
      </c>
      <c r="AQ43" s="57">
        <f t="shared" si="126"/>
        <v>0.13722422521386149</v>
      </c>
      <c r="AR43" s="57">
        <f t="shared" si="126"/>
        <v>0.11444110116926605</v>
      </c>
      <c r="AS43" s="57">
        <f t="shared" ref="AS43:AV43" si="127">+AS42/AS32</f>
        <v>0.17022533950026572</v>
      </c>
      <c r="AT43" s="57">
        <f t="shared" si="127"/>
        <v>0.10715777329258114</v>
      </c>
      <c r="AU43" s="57">
        <f t="shared" si="127"/>
        <v>8.5922381384799046E-2</v>
      </c>
      <c r="AV43" s="57">
        <f t="shared" si="127"/>
        <v>-6.4992428639129964E-3</v>
      </c>
    </row>
    <row r="46" spans="1:48" ht="20.100000000000001" customHeight="1" x14ac:dyDescent="0.25">
      <c r="B46" s="36" t="s">
        <v>152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5">
      <c r="B47" s="38" t="s">
        <v>65</v>
      </c>
      <c r="C47" s="39" t="s">
        <v>99</v>
      </c>
      <c r="D47" s="39">
        <v>2008</v>
      </c>
      <c r="E47" s="39" t="s">
        <v>100</v>
      </c>
      <c r="F47" s="39" t="s">
        <v>101</v>
      </c>
      <c r="G47" s="39" t="s">
        <v>102</v>
      </c>
      <c r="H47" s="39">
        <v>2009</v>
      </c>
      <c r="I47" s="39" t="s">
        <v>103</v>
      </c>
      <c r="J47" s="39" t="s">
        <v>104</v>
      </c>
      <c r="K47" s="39" t="s">
        <v>105</v>
      </c>
      <c r="L47" s="39">
        <v>2010</v>
      </c>
      <c r="M47" s="39" t="s">
        <v>106</v>
      </c>
      <c r="N47" s="39" t="s">
        <v>107</v>
      </c>
      <c r="O47" s="39" t="s">
        <v>108</v>
      </c>
      <c r="P47" s="39">
        <v>2011</v>
      </c>
      <c r="Q47" s="39" t="s">
        <v>96</v>
      </c>
      <c r="R47" s="39" t="s">
        <v>97</v>
      </c>
      <c r="S47" s="39" t="s">
        <v>98</v>
      </c>
      <c r="T47" s="39">
        <v>2012</v>
      </c>
      <c r="U47" s="39" t="s">
        <v>93</v>
      </c>
      <c r="V47" s="39" t="s">
        <v>94</v>
      </c>
      <c r="W47" s="39" t="s">
        <v>95</v>
      </c>
      <c r="X47" s="39">
        <v>2013</v>
      </c>
      <c r="Y47" s="39" t="s">
        <v>90</v>
      </c>
      <c r="Z47" s="39" t="s">
        <v>91</v>
      </c>
      <c r="AA47" s="39" t="s">
        <v>92</v>
      </c>
      <c r="AB47" s="39">
        <v>2014</v>
      </c>
      <c r="AC47" s="39" t="s">
        <v>87</v>
      </c>
      <c r="AD47" s="39" t="s">
        <v>88</v>
      </c>
      <c r="AE47" s="39" t="s">
        <v>89</v>
      </c>
      <c r="AF47" s="39">
        <v>2015</v>
      </c>
      <c r="AG47" s="39" t="s">
        <v>84</v>
      </c>
      <c r="AH47" s="39" t="s">
        <v>85</v>
      </c>
      <c r="AI47" s="39" t="s">
        <v>86</v>
      </c>
      <c r="AJ47" s="39">
        <v>2016</v>
      </c>
      <c r="AK47" s="39" t="s">
        <v>83</v>
      </c>
      <c r="AL47" s="39" t="s">
        <v>82</v>
      </c>
      <c r="AM47" s="39" t="s">
        <v>81</v>
      </c>
      <c r="AN47" s="39">
        <v>2017</v>
      </c>
      <c r="AO47" s="39" t="s">
        <v>172</v>
      </c>
      <c r="AP47" s="39" t="s">
        <v>175</v>
      </c>
      <c r="AQ47" s="39" t="s">
        <v>177</v>
      </c>
      <c r="AR47" s="39">
        <v>2018</v>
      </c>
      <c r="AS47" s="39" t="s">
        <v>188</v>
      </c>
      <c r="AT47" s="39" t="s">
        <v>190</v>
      </c>
      <c r="AU47" s="39" t="s">
        <v>193</v>
      </c>
      <c r="AV47" s="39">
        <v>2019</v>
      </c>
    </row>
    <row r="48" spans="1:48" ht="15" customHeight="1" x14ac:dyDescent="0.25">
      <c r="B48" s="50" t="s">
        <v>58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88">
        <v>6091.0190000000002</v>
      </c>
      <c r="AR48" s="3">
        <v>9108.5069999999996</v>
      </c>
      <c r="AS48" s="3">
        <v>3334.1680000000001</v>
      </c>
      <c r="AT48" s="3">
        <v>5983.652</v>
      </c>
      <c r="AU48" s="3">
        <v>8246.1679999999997</v>
      </c>
      <c r="AV48" s="3">
        <v>10539.071</v>
      </c>
    </row>
    <row r="49" spans="2:48" ht="15" customHeight="1" x14ac:dyDescent="0.25">
      <c r="B49" s="27" t="s">
        <v>74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88">
        <v>2155.5390000000002</v>
      </c>
      <c r="AR49" s="3">
        <v>2964.56</v>
      </c>
      <c r="AS49" s="3">
        <v>1241.3910000000001</v>
      </c>
      <c r="AT49" s="3">
        <v>2298.6480000000001</v>
      </c>
      <c r="AU49" s="3">
        <v>3015.3539999999998</v>
      </c>
      <c r="AV49" s="3">
        <v>3983.2840000000001</v>
      </c>
    </row>
    <row r="50" spans="2:48" ht="15" customHeight="1" x14ac:dyDescent="0.25">
      <c r="B50" s="60" t="s">
        <v>185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61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93">
        <v>1927</v>
      </c>
      <c r="AR50" s="86">
        <v>2664</v>
      </c>
      <c r="AS50" s="86">
        <v>1211</v>
      </c>
      <c r="AT50" s="86">
        <v>2153</v>
      </c>
      <c r="AU50" s="93">
        <v>2773</v>
      </c>
      <c r="AV50" s="93">
        <v>3631</v>
      </c>
    </row>
    <row r="51" spans="2:48" ht="15" customHeight="1" x14ac:dyDescent="0.25">
      <c r="B51" s="60" t="s">
        <v>170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32</v>
      </c>
      <c r="AP51" s="15">
        <v>68</v>
      </c>
      <c r="AQ51" s="93">
        <v>102</v>
      </c>
      <c r="AR51" s="86">
        <v>143</v>
      </c>
      <c r="AS51" s="86">
        <v>23</v>
      </c>
      <c r="AT51" s="86">
        <v>65</v>
      </c>
      <c r="AU51" s="93">
        <v>94.685000000000002</v>
      </c>
      <c r="AV51" s="93">
        <v>145</v>
      </c>
    </row>
    <row r="52" spans="2:48" ht="15" customHeight="1" x14ac:dyDescent="0.25">
      <c r="B52" s="60" t="s">
        <v>184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13</v>
      </c>
      <c r="AQ52" s="93">
        <v>127</v>
      </c>
      <c r="AR52" s="86">
        <v>158</v>
      </c>
      <c r="AS52" s="86">
        <v>8</v>
      </c>
      <c r="AT52" s="86">
        <v>81</v>
      </c>
      <c r="AU52" s="93">
        <v>147</v>
      </c>
      <c r="AV52" s="93">
        <v>207</v>
      </c>
    </row>
    <row r="53" spans="2:48" ht="15" customHeight="1" x14ac:dyDescent="0.25">
      <c r="B53" s="27" t="s">
        <v>75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93">
        <v>81.495000000000005</v>
      </c>
      <c r="AR53" s="86">
        <v>134.465</v>
      </c>
      <c r="AS53" s="86">
        <v>45.704999999999998</v>
      </c>
      <c r="AT53" s="86">
        <v>66.742000000000004</v>
      </c>
      <c r="AU53" s="86">
        <v>103.084</v>
      </c>
      <c r="AV53" s="94"/>
    </row>
    <row r="54" spans="2:48" ht="15" customHeight="1" x14ac:dyDescent="0.25">
      <c r="B54" s="27" t="s">
        <v>76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88">
        <v>30.417999999999999</v>
      </c>
      <c r="AR54" s="3">
        <v>74.103999999999999</v>
      </c>
      <c r="AS54" s="3">
        <v>11.919</v>
      </c>
      <c r="AT54" s="3">
        <v>23.582999999999998</v>
      </c>
      <c r="AU54" s="3">
        <v>35.292999999999999</v>
      </c>
      <c r="AV54" s="3">
        <v>80.998999999999995</v>
      </c>
    </row>
    <row r="55" spans="2:48" ht="15" customHeight="1" x14ac:dyDescent="0.25">
      <c r="B55" s="51" t="s">
        <v>77</v>
      </c>
      <c r="C55" s="52">
        <v>1779</v>
      </c>
      <c r="D55" s="52">
        <v>2518</v>
      </c>
      <c r="E55" s="52">
        <v>644</v>
      </c>
      <c r="F55" s="52">
        <v>1203</v>
      </c>
      <c r="G55" s="52">
        <v>1802</v>
      </c>
      <c r="H55" s="52">
        <v>2350</v>
      </c>
      <c r="I55" s="52">
        <v>602</v>
      </c>
      <c r="J55" s="52">
        <v>1103</v>
      </c>
      <c r="K55" s="52">
        <v>1639</v>
      </c>
      <c r="L55" s="52">
        <v>2262</v>
      </c>
      <c r="M55" s="52">
        <v>690</v>
      </c>
      <c r="N55" s="52">
        <v>1393</v>
      </c>
      <c r="O55" s="52">
        <v>2188</v>
      </c>
      <c r="P55" s="52">
        <v>3211</v>
      </c>
      <c r="Q55" s="52">
        <v>1000</v>
      </c>
      <c r="R55" s="52">
        <v>1971</v>
      </c>
      <c r="S55" s="52">
        <v>2924</v>
      </c>
      <c r="T55" s="52">
        <v>3949</v>
      </c>
      <c r="U55" s="52">
        <v>1059</v>
      </c>
      <c r="V55" s="52">
        <v>1964</v>
      </c>
      <c r="W55" s="52">
        <v>2871</v>
      </c>
      <c r="X55" s="52">
        <v>3846</v>
      </c>
      <c r="Y55" s="52">
        <v>1149</v>
      </c>
      <c r="Z55" s="52">
        <v>2142</v>
      </c>
      <c r="AA55" s="52">
        <v>3197</v>
      </c>
      <c r="AB55" s="52">
        <v>4475</v>
      </c>
      <c r="AC55" s="52">
        <v>1091</v>
      </c>
      <c r="AD55" s="52">
        <v>2040</v>
      </c>
      <c r="AE55" s="52">
        <v>2847</v>
      </c>
      <c r="AF55" s="52">
        <v>3888</v>
      </c>
      <c r="AG55" s="52">
        <v>1373</v>
      </c>
      <c r="AH55" s="52">
        <v>2438</v>
      </c>
      <c r="AI55" s="52">
        <v>3413.893</v>
      </c>
      <c r="AJ55" s="52">
        <v>4737</v>
      </c>
      <c r="AK55" s="52">
        <v>1637</v>
      </c>
      <c r="AL55" s="52">
        <v>3344</v>
      </c>
      <c r="AM55" s="52">
        <v>5070.4070000000002</v>
      </c>
      <c r="AN55" s="52">
        <v>7487.1329999999998</v>
      </c>
      <c r="AO55" s="52">
        <v>2265.9</v>
      </c>
      <c r="AP55" s="52">
        <v>5102.5079999999998</v>
      </c>
      <c r="AQ55" s="52">
        <v>8358.4709999999995</v>
      </c>
      <c r="AR55" s="52">
        <v>12147.171</v>
      </c>
      <c r="AS55" s="52">
        <v>4587.4780000000001</v>
      </c>
      <c r="AT55" s="52">
        <v>8305.8829999999998</v>
      </c>
      <c r="AU55" s="52">
        <v>11296.815000000001</v>
      </c>
      <c r="AV55" s="52">
        <v>14603.353999999999</v>
      </c>
    </row>
    <row r="56" spans="2:48" ht="15" customHeight="1" x14ac:dyDescent="0.25">
      <c r="B56" s="27" t="s">
        <v>58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3">
        <v>570.75800000000004</v>
      </c>
      <c r="AR56" s="3">
        <v>955.76700000000005</v>
      </c>
      <c r="AS56" s="3">
        <v>802.93700000000001</v>
      </c>
      <c r="AT56" s="3">
        <v>1076.51</v>
      </c>
      <c r="AU56" s="3">
        <v>1395.0119999999999</v>
      </c>
      <c r="AV56" s="3">
        <v>1447.9939999999999</v>
      </c>
    </row>
    <row r="57" spans="2:48" ht="15" customHeight="1" x14ac:dyDescent="0.25">
      <c r="B57" s="27" t="s">
        <v>74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3">
        <v>161.78</v>
      </c>
      <c r="AT57" s="3">
        <v>366.036</v>
      </c>
      <c r="AU57" s="3">
        <v>458.86599999999999</v>
      </c>
      <c r="AV57" s="3">
        <v>553.93200000000002</v>
      </c>
    </row>
    <row r="58" spans="2:48" ht="15" customHeight="1" x14ac:dyDescent="0.25">
      <c r="B58" s="60" t="s">
        <v>185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358</v>
      </c>
      <c r="AO58" s="15">
        <v>116</v>
      </c>
      <c r="AP58" s="15">
        <v>212</v>
      </c>
      <c r="AQ58" s="86">
        <v>352</v>
      </c>
      <c r="AR58" s="86">
        <v>496</v>
      </c>
      <c r="AS58" s="86">
        <v>156</v>
      </c>
      <c r="AT58" s="86">
        <v>321</v>
      </c>
      <c r="AU58" s="93">
        <v>406</v>
      </c>
      <c r="AV58" s="62">
        <v>475</v>
      </c>
    </row>
    <row r="59" spans="2:48" ht="15" customHeight="1" x14ac:dyDescent="0.25">
      <c r="B59" s="60" t="s">
        <v>170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86">
        <v>67</v>
      </c>
      <c r="AR59" s="86">
        <v>93</v>
      </c>
      <c r="AS59" s="86">
        <v>11</v>
      </c>
      <c r="AT59" s="86">
        <v>39</v>
      </c>
      <c r="AU59" s="93">
        <v>54</v>
      </c>
      <c r="AV59" s="93">
        <v>90</v>
      </c>
    </row>
    <row r="60" spans="2:48" ht="15" customHeight="1" x14ac:dyDescent="0.25">
      <c r="B60" s="60" t="s">
        <v>184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-2</v>
      </c>
      <c r="AQ60" s="86">
        <v>10</v>
      </c>
      <c r="AR60" s="86">
        <v>0</v>
      </c>
      <c r="AS60" s="86">
        <v>-5</v>
      </c>
      <c r="AT60" s="86">
        <v>6</v>
      </c>
      <c r="AU60" s="93">
        <v>-1</v>
      </c>
      <c r="AV60" s="93">
        <v>-11</v>
      </c>
    </row>
    <row r="61" spans="2:48" ht="15" customHeight="1" x14ac:dyDescent="0.25">
      <c r="B61" s="27" t="s">
        <v>75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3">
        <v>4.4989999999999997</v>
      </c>
      <c r="AT61" s="3">
        <v>4.1760000000000002</v>
      </c>
      <c r="AU61" s="3">
        <v>10.131</v>
      </c>
      <c r="AV61" s="94"/>
    </row>
    <row r="62" spans="2:48" ht="15" customHeight="1" x14ac:dyDescent="0.25">
      <c r="B62" s="27" t="s">
        <v>76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3">
        <v>-26.58</v>
      </c>
      <c r="AT62" s="3">
        <v>-49.363999999999997</v>
      </c>
      <c r="AU62" s="3">
        <v>-64.817999999999998</v>
      </c>
      <c r="AV62" s="93">
        <v>-80.878</v>
      </c>
    </row>
    <row r="63" spans="2:48" ht="15" customHeight="1" x14ac:dyDescent="0.25">
      <c r="B63" s="51" t="s">
        <v>78</v>
      </c>
      <c r="C63" s="52">
        <v>311</v>
      </c>
      <c r="D63" s="52">
        <v>247</v>
      </c>
      <c r="E63" s="52">
        <v>93</v>
      </c>
      <c r="F63" s="52">
        <v>90</v>
      </c>
      <c r="G63" s="52">
        <v>152</v>
      </c>
      <c r="H63" s="52">
        <v>202</v>
      </c>
      <c r="I63" s="52">
        <v>108</v>
      </c>
      <c r="J63" s="52">
        <v>176</v>
      </c>
      <c r="K63" s="52">
        <v>223</v>
      </c>
      <c r="L63" s="52">
        <v>299</v>
      </c>
      <c r="M63" s="52">
        <v>94</v>
      </c>
      <c r="N63" s="52">
        <v>189</v>
      </c>
      <c r="O63" s="52">
        <v>282</v>
      </c>
      <c r="P63" s="52">
        <v>362</v>
      </c>
      <c r="Q63" s="52">
        <v>97</v>
      </c>
      <c r="R63" s="52">
        <v>194</v>
      </c>
      <c r="S63" s="52">
        <v>262</v>
      </c>
      <c r="T63" s="52">
        <v>281</v>
      </c>
      <c r="U63" s="52">
        <v>121</v>
      </c>
      <c r="V63" s="52">
        <v>20</v>
      </c>
      <c r="W63" s="52">
        <v>59</v>
      </c>
      <c r="X63" s="52">
        <v>10</v>
      </c>
      <c r="Y63" s="52">
        <v>169</v>
      </c>
      <c r="Z63" s="52">
        <v>251</v>
      </c>
      <c r="AA63" s="52">
        <v>335</v>
      </c>
      <c r="AB63" s="52">
        <v>188</v>
      </c>
      <c r="AC63" s="52">
        <v>74</v>
      </c>
      <c r="AD63" s="52">
        <v>157</v>
      </c>
      <c r="AE63" s="52">
        <v>247</v>
      </c>
      <c r="AF63" s="52">
        <v>294</v>
      </c>
      <c r="AG63" s="52">
        <v>187</v>
      </c>
      <c r="AH63" s="52">
        <v>299</v>
      </c>
      <c r="AI63" s="52">
        <v>349</v>
      </c>
      <c r="AJ63" s="52">
        <v>529</v>
      </c>
      <c r="AK63" s="52">
        <v>223</v>
      </c>
      <c r="AL63" s="52">
        <v>485</v>
      </c>
      <c r="AM63" s="52">
        <v>683</v>
      </c>
      <c r="AN63" s="52">
        <v>1005</v>
      </c>
      <c r="AO63" s="52">
        <v>295.5</v>
      </c>
      <c r="AP63" s="52">
        <v>593</v>
      </c>
      <c r="AQ63" s="52">
        <v>982</v>
      </c>
      <c r="AR63" s="52">
        <v>1501.1880000000001</v>
      </c>
      <c r="AS63" s="52">
        <v>942.63599999999997</v>
      </c>
      <c r="AT63" s="52">
        <v>1397.3579999999999</v>
      </c>
      <c r="AU63" s="52">
        <v>1799.191</v>
      </c>
      <c r="AV63" s="52">
        <v>1921.048</v>
      </c>
    </row>
    <row r="64" spans="2:48" ht="15" customHeight="1" x14ac:dyDescent="0.25">
      <c r="B64" s="27" t="s">
        <v>58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3">
        <v>472.113</v>
      </c>
      <c r="AR64" s="3">
        <v>715.85299999999995</v>
      </c>
      <c r="AS64" s="3">
        <v>624.78300000000002</v>
      </c>
      <c r="AT64" s="3">
        <v>859.52499999999998</v>
      </c>
      <c r="AU64" s="3">
        <v>1062.0530000000001</v>
      </c>
      <c r="AV64" s="3">
        <v>984.375</v>
      </c>
    </row>
    <row r="65" spans="1:48" ht="15" customHeight="1" x14ac:dyDescent="0.25">
      <c r="B65" s="27" t="s">
        <v>74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145.315</v>
      </c>
      <c r="AQ65" s="3">
        <v>205.66</v>
      </c>
      <c r="AR65" s="3">
        <v>464.012</v>
      </c>
      <c r="AS65" s="3">
        <v>116.627</v>
      </c>
      <c r="AT65" s="3">
        <v>271.70699999999999</v>
      </c>
      <c r="AU65" s="3">
        <v>334.32799999999997</v>
      </c>
      <c r="AV65" s="3">
        <v>385.50099999999998</v>
      </c>
    </row>
    <row r="66" spans="1:48" ht="15" customHeight="1" x14ac:dyDescent="0.25">
      <c r="B66" s="60" t="s">
        <v>185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79</v>
      </c>
      <c r="AP66" s="15">
        <v>108</v>
      </c>
      <c r="AQ66" s="86">
        <v>121</v>
      </c>
      <c r="AR66" s="86">
        <v>384</v>
      </c>
      <c r="AS66" s="86">
        <v>111</v>
      </c>
      <c r="AT66" s="86">
        <v>236</v>
      </c>
      <c r="AU66" s="86">
        <v>295</v>
      </c>
      <c r="AV66" s="86">
        <v>331</v>
      </c>
    </row>
    <row r="67" spans="1:48" ht="15" customHeight="1" x14ac:dyDescent="0.25">
      <c r="B67" s="60" t="s">
        <v>170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93</v>
      </c>
      <c r="AO67" s="15">
        <v>17</v>
      </c>
      <c r="AP67" s="15">
        <v>37</v>
      </c>
      <c r="AQ67" s="86">
        <v>64</v>
      </c>
      <c r="AR67" s="86">
        <v>82</v>
      </c>
      <c r="AS67" s="86">
        <v>10</v>
      </c>
      <c r="AT67" s="86">
        <v>31</v>
      </c>
      <c r="AU67" s="86">
        <v>41</v>
      </c>
      <c r="AV67" s="86">
        <v>68</v>
      </c>
    </row>
    <row r="68" spans="1:48" ht="15" customHeight="1" x14ac:dyDescent="0.25">
      <c r="B68" s="60" t="s">
        <v>184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-6</v>
      </c>
      <c r="AQ68" s="86">
        <v>21</v>
      </c>
      <c r="AR68" s="86">
        <v>-2</v>
      </c>
      <c r="AS68" s="86">
        <v>-4</v>
      </c>
      <c r="AT68" s="86">
        <v>7</v>
      </c>
      <c r="AU68" s="86">
        <v>-1</v>
      </c>
      <c r="AV68" s="86">
        <v>-14</v>
      </c>
    </row>
    <row r="69" spans="1:48" ht="15" customHeight="1" x14ac:dyDescent="0.25">
      <c r="B69" s="27" t="s">
        <v>75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3">
        <v>-25.451000000000001</v>
      </c>
      <c r="AR69" s="3">
        <v>-24.748000000000001</v>
      </c>
      <c r="AS69" s="3">
        <v>6.984</v>
      </c>
      <c r="AT69" s="3">
        <v>-0.748</v>
      </c>
      <c r="AU69" s="3">
        <v>0.48299999999999998</v>
      </c>
      <c r="AV69" s="94"/>
    </row>
    <row r="70" spans="1:48" ht="15" customHeight="1" x14ac:dyDescent="0.25">
      <c r="B70" s="27" t="s">
        <v>76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3">
        <v>329.36700000000002</v>
      </c>
      <c r="AR70" s="3">
        <v>221.66200000000001</v>
      </c>
      <c r="AS70" s="3">
        <v>32.511000000000003</v>
      </c>
      <c r="AT70" s="3">
        <v>48.877000000000002</v>
      </c>
      <c r="AU70" s="3">
        <v>39.484999999999999</v>
      </c>
      <c r="AV70" s="3">
        <v>44.982999999999997</v>
      </c>
    </row>
    <row r="71" spans="1:48" ht="15" customHeight="1" x14ac:dyDescent="0.25">
      <c r="A71" s="65" t="s">
        <v>165</v>
      </c>
      <c r="B71" s="51" t="s">
        <v>79</v>
      </c>
      <c r="C71" s="52">
        <v>218</v>
      </c>
      <c r="D71" s="52">
        <v>91</v>
      </c>
      <c r="E71" s="52">
        <v>6</v>
      </c>
      <c r="F71" s="52">
        <v>12</v>
      </c>
      <c r="G71" s="52">
        <v>57</v>
      </c>
      <c r="H71" s="52">
        <v>69</v>
      </c>
      <c r="I71" s="52">
        <v>67</v>
      </c>
      <c r="J71" s="52">
        <v>106</v>
      </c>
      <c r="K71" s="52">
        <v>147</v>
      </c>
      <c r="L71" s="52">
        <v>178</v>
      </c>
      <c r="M71" s="52">
        <v>76</v>
      </c>
      <c r="N71" s="52">
        <v>143</v>
      </c>
      <c r="O71" s="52">
        <v>197</v>
      </c>
      <c r="P71" s="52">
        <v>243</v>
      </c>
      <c r="Q71" s="52">
        <v>92</v>
      </c>
      <c r="R71" s="52">
        <v>150</v>
      </c>
      <c r="S71" s="52">
        <v>198</v>
      </c>
      <c r="T71" s="52">
        <v>300</v>
      </c>
      <c r="U71" s="52">
        <v>147</v>
      </c>
      <c r="V71" s="52">
        <v>6</v>
      </c>
      <c r="W71" s="52">
        <v>6</v>
      </c>
      <c r="X71" s="52">
        <v>-64</v>
      </c>
      <c r="Y71" s="52">
        <v>142</v>
      </c>
      <c r="Z71" s="52">
        <v>184</v>
      </c>
      <c r="AA71" s="52">
        <v>253</v>
      </c>
      <c r="AB71" s="52">
        <v>58</v>
      </c>
      <c r="AC71" s="52">
        <v>85</v>
      </c>
      <c r="AD71" s="52">
        <v>115</v>
      </c>
      <c r="AE71" s="52">
        <v>158</v>
      </c>
      <c r="AF71" s="52">
        <v>193</v>
      </c>
      <c r="AG71" s="52">
        <v>150</v>
      </c>
      <c r="AH71" s="52">
        <v>224</v>
      </c>
      <c r="AI71" s="52">
        <v>214.28800000000001</v>
      </c>
      <c r="AJ71" s="52">
        <v>330</v>
      </c>
      <c r="AK71" s="52">
        <v>161</v>
      </c>
      <c r="AL71" s="52">
        <v>385</v>
      </c>
      <c r="AM71" s="52">
        <v>516.10400000000004</v>
      </c>
      <c r="AN71" s="52">
        <v>770.72799999999995</v>
      </c>
      <c r="AO71" s="52">
        <v>241.1</v>
      </c>
      <c r="AP71" s="64">
        <v>520.39200000000005</v>
      </c>
      <c r="AQ71" s="64">
        <v>967.94400000000167</v>
      </c>
      <c r="AR71" s="64">
        <v>1401.527</v>
      </c>
      <c r="AS71" s="52">
        <v>780.90499999999997</v>
      </c>
      <c r="AT71" s="52">
        <v>1179.3610000000001</v>
      </c>
      <c r="AU71" s="52">
        <v>1436.3489999999999</v>
      </c>
      <c r="AV71" s="52">
        <v>1414.8589999999999</v>
      </c>
    </row>
    <row r="74" spans="1:48" ht="20.100000000000001" customHeight="1" x14ac:dyDescent="0.25">
      <c r="B74" s="36" t="s">
        <v>153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:48" x14ac:dyDescent="0.25">
      <c r="B75" s="38" t="s">
        <v>65</v>
      </c>
      <c r="C75" s="39" t="s">
        <v>1</v>
      </c>
      <c r="D75" s="39" t="s">
        <v>2</v>
      </c>
      <c r="E75" s="39" t="s">
        <v>7</v>
      </c>
      <c r="F75" s="39" t="s">
        <v>8</v>
      </c>
      <c r="G75" s="39" t="s">
        <v>9</v>
      </c>
      <c r="H75" s="39" t="s">
        <v>10</v>
      </c>
      <c r="I75" s="39" t="s">
        <v>11</v>
      </c>
      <c r="J75" s="39" t="s">
        <v>12</v>
      </c>
      <c r="K75" s="39" t="s">
        <v>13</v>
      </c>
      <c r="L75" s="39" t="s">
        <v>14</v>
      </c>
      <c r="M75" s="39" t="s">
        <v>15</v>
      </c>
      <c r="N75" s="39" t="s">
        <v>16</v>
      </c>
      <c r="O75" s="39" t="s">
        <v>17</v>
      </c>
      <c r="P75" s="39" t="s">
        <v>18</v>
      </c>
      <c r="Q75" s="39" t="s">
        <v>19</v>
      </c>
      <c r="R75" s="39" t="s">
        <v>20</v>
      </c>
      <c r="S75" s="39" t="s">
        <v>21</v>
      </c>
      <c r="T75" s="39" t="s">
        <v>22</v>
      </c>
      <c r="U75" s="39" t="s">
        <v>23</v>
      </c>
      <c r="V75" s="39" t="s">
        <v>24</v>
      </c>
      <c r="W75" s="39" t="s">
        <v>25</v>
      </c>
      <c r="X75" s="39" t="s">
        <v>26</v>
      </c>
      <c r="Y75" s="39" t="s">
        <v>27</v>
      </c>
      <c r="Z75" s="39" t="s">
        <v>28</v>
      </c>
      <c r="AA75" s="39" t="s">
        <v>29</v>
      </c>
      <c r="AB75" s="39" t="s">
        <v>30</v>
      </c>
      <c r="AC75" s="39" t="s">
        <v>31</v>
      </c>
      <c r="AD75" s="39" t="s">
        <v>32</v>
      </c>
      <c r="AE75" s="39" t="s">
        <v>33</v>
      </c>
      <c r="AF75" s="39" t="s">
        <v>34</v>
      </c>
      <c r="AG75" s="39" t="s">
        <v>35</v>
      </c>
      <c r="AH75" s="39" t="s">
        <v>36</v>
      </c>
      <c r="AI75" s="39" t="s">
        <v>37</v>
      </c>
      <c r="AJ75" s="39" t="s">
        <v>38</v>
      </c>
      <c r="AK75" s="39" t="s">
        <v>39</v>
      </c>
      <c r="AL75" s="39" t="s">
        <v>40</v>
      </c>
      <c r="AM75" s="39" t="s">
        <v>41</v>
      </c>
      <c r="AN75" s="39" t="s">
        <v>171</v>
      </c>
      <c r="AO75" s="39" t="s">
        <v>173</v>
      </c>
      <c r="AP75" s="39" t="s">
        <v>174</v>
      </c>
      <c r="AQ75" s="39" t="s">
        <v>176</v>
      </c>
      <c r="AR75" s="39" t="s">
        <v>183</v>
      </c>
      <c r="AS75" s="39" t="s">
        <v>187</v>
      </c>
      <c r="AT75" s="39" t="s">
        <v>189</v>
      </c>
      <c r="AU75" s="39" t="s">
        <v>192</v>
      </c>
      <c r="AV75" s="39" t="s">
        <v>194</v>
      </c>
    </row>
    <row r="76" spans="1:48" ht="15" customHeight="1" x14ac:dyDescent="0.25">
      <c r="B76" s="50" t="s">
        <v>58</v>
      </c>
      <c r="C76" s="11">
        <v>316</v>
      </c>
      <c r="D76" s="45">
        <f>+D48-C48</f>
        <v>418</v>
      </c>
      <c r="E76" s="45">
        <f>+E48</f>
        <v>322</v>
      </c>
      <c r="F76" s="45">
        <f t="shared" ref="F76:H79" si="128">+F48-E48</f>
        <v>325</v>
      </c>
      <c r="G76" s="45">
        <f t="shared" si="128"/>
        <v>359</v>
      </c>
      <c r="H76" s="45">
        <f t="shared" si="128"/>
        <v>335</v>
      </c>
      <c r="I76" s="45">
        <f>+I48</f>
        <v>234</v>
      </c>
      <c r="J76" s="45">
        <f t="shared" ref="J76:L79" si="129">+J48-I48</f>
        <v>281</v>
      </c>
      <c r="K76" s="45">
        <f t="shared" si="129"/>
        <v>263</v>
      </c>
      <c r="L76" s="45">
        <f t="shared" si="129"/>
        <v>333</v>
      </c>
      <c r="M76" s="45">
        <f>+M48</f>
        <v>289</v>
      </c>
      <c r="N76" s="45">
        <f t="shared" ref="N76:P79" si="130">+N48-M48</f>
        <v>413</v>
      </c>
      <c r="O76" s="45">
        <f t="shared" si="130"/>
        <v>456</v>
      </c>
      <c r="P76" s="45">
        <f t="shared" si="130"/>
        <v>706</v>
      </c>
      <c r="Q76" s="45">
        <f>+Q48</f>
        <v>526</v>
      </c>
      <c r="R76" s="45">
        <f t="shared" ref="R76:T79" si="131">+R48-Q48</f>
        <v>596</v>
      </c>
      <c r="S76" s="45">
        <f t="shared" si="131"/>
        <v>618</v>
      </c>
      <c r="T76" s="45">
        <f t="shared" si="131"/>
        <v>655</v>
      </c>
      <c r="U76" s="45">
        <f>+U48</f>
        <v>554</v>
      </c>
      <c r="V76" s="45">
        <f t="shared" ref="V76:X79" si="132">+V48-U48</f>
        <v>594</v>
      </c>
      <c r="W76" s="45">
        <f t="shared" si="132"/>
        <v>599</v>
      </c>
      <c r="X76" s="45">
        <f t="shared" si="132"/>
        <v>580</v>
      </c>
      <c r="Y76" s="45">
        <f>+Y48</f>
        <v>609</v>
      </c>
      <c r="Z76" s="45">
        <f t="shared" ref="Z76:AB79" si="133">+Z48-Y48</f>
        <v>663</v>
      </c>
      <c r="AA76" s="45">
        <f t="shared" si="133"/>
        <v>709</v>
      </c>
      <c r="AB76" s="45">
        <f t="shared" si="133"/>
        <v>787</v>
      </c>
      <c r="AC76" s="45">
        <f>+AC48</f>
        <v>485</v>
      </c>
      <c r="AD76" s="45">
        <f t="shared" ref="AD76:AF79" si="134">+AD48-AC48</f>
        <v>532</v>
      </c>
      <c r="AE76" s="45">
        <f t="shared" si="134"/>
        <v>484</v>
      </c>
      <c r="AF76" s="45">
        <f t="shared" si="134"/>
        <v>652</v>
      </c>
      <c r="AG76" s="45">
        <f>+AG48</f>
        <v>628</v>
      </c>
      <c r="AH76" s="45">
        <f t="shared" ref="AH76:AJ79" si="135">+AH48-AG48</f>
        <v>690</v>
      </c>
      <c r="AI76" s="45">
        <f t="shared" si="135"/>
        <v>656.86400000000003</v>
      </c>
      <c r="AJ76" s="45">
        <f t="shared" si="135"/>
        <v>849.13599999999997</v>
      </c>
      <c r="AK76" s="45">
        <f>+AK48</f>
        <v>911</v>
      </c>
      <c r="AL76" s="45">
        <f t="shared" ref="AL76:AN79" si="136">+AL48-AK48</f>
        <v>1039</v>
      </c>
      <c r="AM76" s="45">
        <f t="shared" si="136"/>
        <v>1127.6869999999999</v>
      </c>
      <c r="AN76" s="45">
        <f t="shared" si="136"/>
        <v>1783.8530000000001</v>
      </c>
      <c r="AO76" s="45">
        <f>+AO48</f>
        <v>1488.3</v>
      </c>
      <c r="AP76" s="45">
        <f t="shared" ref="AP76:AV91" si="137">+AP48-AO48</f>
        <v>2109.4489999999996</v>
      </c>
      <c r="AQ76" s="45">
        <f t="shared" si="137"/>
        <v>2493.2700000000004</v>
      </c>
      <c r="AR76" s="45">
        <f t="shared" si="137"/>
        <v>3017.4879999999994</v>
      </c>
      <c r="AS76" s="45">
        <f>+AS48</f>
        <v>3334.1680000000001</v>
      </c>
      <c r="AT76" s="45">
        <f t="shared" si="137"/>
        <v>2649.4839999999999</v>
      </c>
      <c r="AU76" s="45">
        <f t="shared" si="137"/>
        <v>2262.5159999999996</v>
      </c>
      <c r="AV76" s="45">
        <f>+AV48-AU48</f>
        <v>2292.9030000000002</v>
      </c>
    </row>
    <row r="77" spans="1:48" ht="15" customHeight="1" x14ac:dyDescent="0.25">
      <c r="B77" s="27" t="s">
        <v>74</v>
      </c>
      <c r="C77" s="13">
        <v>211</v>
      </c>
      <c r="D77" s="13">
        <f>+D49-C49</f>
        <v>300</v>
      </c>
      <c r="E77" s="13">
        <f>+E49</f>
        <v>301</v>
      </c>
      <c r="F77" s="13">
        <f t="shared" si="128"/>
        <v>173</v>
      </c>
      <c r="G77" s="13">
        <f t="shared" si="128"/>
        <v>219</v>
      </c>
      <c r="H77" s="13">
        <f t="shared" si="128"/>
        <v>190</v>
      </c>
      <c r="I77" s="13">
        <f>+I49</f>
        <v>342</v>
      </c>
      <c r="J77" s="13">
        <f t="shared" si="129"/>
        <v>185</v>
      </c>
      <c r="K77" s="13">
        <f t="shared" si="129"/>
        <v>240</v>
      </c>
      <c r="L77" s="13">
        <f t="shared" si="129"/>
        <v>260</v>
      </c>
      <c r="M77" s="13">
        <f>+M49</f>
        <v>371</v>
      </c>
      <c r="N77" s="13">
        <f t="shared" si="130"/>
        <v>257</v>
      </c>
      <c r="O77" s="13">
        <f t="shared" si="130"/>
        <v>295</v>
      </c>
      <c r="P77" s="13">
        <f t="shared" si="130"/>
        <v>285</v>
      </c>
      <c r="Q77" s="13">
        <f>+Q49</f>
        <v>451</v>
      </c>
      <c r="R77" s="13">
        <f t="shared" si="131"/>
        <v>347</v>
      </c>
      <c r="S77" s="13">
        <f t="shared" si="131"/>
        <v>269</v>
      </c>
      <c r="T77" s="13">
        <f t="shared" si="131"/>
        <v>357</v>
      </c>
      <c r="U77" s="13">
        <f>+U49</f>
        <v>477</v>
      </c>
      <c r="V77" s="13">
        <f t="shared" si="132"/>
        <v>287</v>
      </c>
      <c r="W77" s="13">
        <f t="shared" si="132"/>
        <v>286</v>
      </c>
      <c r="X77" s="13">
        <f t="shared" si="132"/>
        <v>373</v>
      </c>
      <c r="Y77" s="13">
        <f>+Y49</f>
        <v>514</v>
      </c>
      <c r="Z77" s="13">
        <f t="shared" si="133"/>
        <v>306</v>
      </c>
      <c r="AA77" s="13">
        <f t="shared" si="133"/>
        <v>325</v>
      </c>
      <c r="AB77" s="13">
        <f t="shared" si="133"/>
        <v>481</v>
      </c>
      <c r="AC77" s="13">
        <f>+AC49</f>
        <v>586</v>
      </c>
      <c r="AD77" s="13">
        <f t="shared" si="134"/>
        <v>392</v>
      </c>
      <c r="AE77" s="13">
        <f t="shared" si="134"/>
        <v>306</v>
      </c>
      <c r="AF77" s="13">
        <f t="shared" si="134"/>
        <v>375</v>
      </c>
      <c r="AG77" s="13">
        <f>+AG49</f>
        <v>731</v>
      </c>
      <c r="AH77" s="13">
        <f t="shared" si="135"/>
        <v>360</v>
      </c>
      <c r="AI77" s="13">
        <f t="shared" si="135"/>
        <v>302.47000000000003</v>
      </c>
      <c r="AJ77" s="13">
        <f t="shared" si="135"/>
        <v>457.53</v>
      </c>
      <c r="AK77" s="13">
        <f>+AK49</f>
        <v>676</v>
      </c>
      <c r="AL77" s="13">
        <f t="shared" si="136"/>
        <v>480</v>
      </c>
      <c r="AM77" s="13">
        <f t="shared" si="136"/>
        <v>498.43200000000002</v>
      </c>
      <c r="AN77" s="13">
        <f t="shared" si="136"/>
        <v>586.00200000000018</v>
      </c>
      <c r="AO77" s="13">
        <f>+AO49</f>
        <v>743.7</v>
      </c>
      <c r="AP77" s="13">
        <f t="shared" si="137"/>
        <v>701.298</v>
      </c>
      <c r="AQ77" s="13">
        <f t="shared" si="137"/>
        <v>710.54100000000017</v>
      </c>
      <c r="AR77" s="13">
        <f t="shared" si="137"/>
        <v>809.02099999999973</v>
      </c>
      <c r="AS77" s="13">
        <f>+AS49</f>
        <v>1241.3910000000001</v>
      </c>
      <c r="AT77" s="13">
        <f t="shared" si="137"/>
        <v>1057.2570000000001</v>
      </c>
      <c r="AU77" s="13">
        <f t="shared" si="137"/>
        <v>716.70599999999968</v>
      </c>
      <c r="AV77" s="3">
        <f t="shared" si="137"/>
        <v>967.93000000000029</v>
      </c>
    </row>
    <row r="78" spans="1:48" ht="15" customHeight="1" x14ac:dyDescent="0.25">
      <c r="B78" s="60" t="s">
        <v>185</v>
      </c>
      <c r="C78" s="15">
        <v>202</v>
      </c>
      <c r="D78" s="15">
        <f>+D50-C50</f>
        <v>288</v>
      </c>
      <c r="E78" s="15">
        <f>+E50</f>
        <v>290</v>
      </c>
      <c r="F78" s="15">
        <f t="shared" si="128"/>
        <v>160</v>
      </c>
      <c r="G78" s="15">
        <f t="shared" si="128"/>
        <v>204</v>
      </c>
      <c r="H78" s="15">
        <f t="shared" si="128"/>
        <v>176</v>
      </c>
      <c r="I78" s="15">
        <f>+I50</f>
        <v>329</v>
      </c>
      <c r="J78" s="15">
        <f t="shared" si="129"/>
        <v>169</v>
      </c>
      <c r="K78" s="15">
        <f t="shared" si="129"/>
        <v>225</v>
      </c>
      <c r="L78" s="15">
        <f t="shared" si="129"/>
        <v>246</v>
      </c>
      <c r="M78" s="15">
        <f>+M50</f>
        <v>358</v>
      </c>
      <c r="N78" s="15">
        <f t="shared" si="130"/>
        <v>242</v>
      </c>
      <c r="O78" s="15">
        <f t="shared" si="130"/>
        <v>280</v>
      </c>
      <c r="P78" s="15">
        <f t="shared" si="130"/>
        <v>272</v>
      </c>
      <c r="Q78" s="15">
        <f>+Q50</f>
        <v>438</v>
      </c>
      <c r="R78" s="15">
        <f t="shared" si="131"/>
        <v>330</v>
      </c>
      <c r="S78" s="15">
        <f t="shared" si="131"/>
        <v>252</v>
      </c>
      <c r="T78" s="15">
        <f t="shared" si="131"/>
        <v>337</v>
      </c>
      <c r="U78" s="15">
        <f>+U50</f>
        <v>460</v>
      </c>
      <c r="V78" s="15">
        <f t="shared" si="132"/>
        <v>271</v>
      </c>
      <c r="W78" s="15">
        <f t="shared" si="132"/>
        <v>266</v>
      </c>
      <c r="X78" s="15">
        <f t="shared" si="132"/>
        <v>357</v>
      </c>
      <c r="Y78" s="15">
        <f>+Y50</f>
        <v>493</v>
      </c>
      <c r="Z78" s="15">
        <f t="shared" si="133"/>
        <v>293</v>
      </c>
      <c r="AA78" s="15">
        <f t="shared" si="133"/>
        <v>302</v>
      </c>
      <c r="AB78" s="15">
        <f t="shared" si="133"/>
        <v>453</v>
      </c>
      <c r="AC78" s="15">
        <f>+AC50</f>
        <v>559</v>
      </c>
      <c r="AD78" s="15">
        <f t="shared" si="134"/>
        <v>366</v>
      </c>
      <c r="AE78" s="15">
        <f t="shared" si="134"/>
        <v>273</v>
      </c>
      <c r="AF78" s="15">
        <f t="shared" si="134"/>
        <v>338</v>
      </c>
      <c r="AG78" s="15">
        <f>+AG50</f>
        <v>695</v>
      </c>
      <c r="AH78" s="15">
        <f t="shared" si="135"/>
        <v>328</v>
      </c>
      <c r="AI78" s="15">
        <f t="shared" si="135"/>
        <v>271</v>
      </c>
      <c r="AJ78" s="15">
        <f t="shared" si="135"/>
        <v>421</v>
      </c>
      <c r="AK78" s="15">
        <f>+AK50</f>
        <v>637</v>
      </c>
      <c r="AL78" s="15">
        <f t="shared" si="136"/>
        <v>442</v>
      </c>
      <c r="AM78" s="15">
        <f t="shared" si="136"/>
        <v>439</v>
      </c>
      <c r="AN78" s="15">
        <f t="shared" si="136"/>
        <v>551</v>
      </c>
      <c r="AO78" s="15">
        <f>+AO50</f>
        <v>713</v>
      </c>
      <c r="AP78" s="15">
        <f t="shared" si="137"/>
        <v>590</v>
      </c>
      <c r="AQ78" s="15">
        <f t="shared" si="137"/>
        <v>624</v>
      </c>
      <c r="AR78" s="15">
        <f t="shared" si="137"/>
        <v>737</v>
      </c>
      <c r="AS78" s="15">
        <f>+AS50</f>
        <v>1211</v>
      </c>
      <c r="AT78" s="15">
        <f t="shared" si="137"/>
        <v>942</v>
      </c>
      <c r="AU78" s="15">
        <f t="shared" si="137"/>
        <v>620</v>
      </c>
      <c r="AV78" s="86">
        <f t="shared" si="137"/>
        <v>858</v>
      </c>
    </row>
    <row r="79" spans="1:48" ht="15" customHeight="1" x14ac:dyDescent="0.25">
      <c r="B79" s="60" t="s">
        <v>170</v>
      </c>
      <c r="C79" s="15">
        <v>10</v>
      </c>
      <c r="D79" s="15">
        <f>+D51-C51</f>
        <v>12</v>
      </c>
      <c r="E79" s="15">
        <f>+E51</f>
        <v>11</v>
      </c>
      <c r="F79" s="15">
        <f t="shared" si="128"/>
        <v>13</v>
      </c>
      <c r="G79" s="15">
        <f t="shared" si="128"/>
        <v>15</v>
      </c>
      <c r="H79" s="15">
        <f t="shared" si="128"/>
        <v>14</v>
      </c>
      <c r="I79" s="15">
        <f>+I51</f>
        <v>13</v>
      </c>
      <c r="J79" s="15">
        <f t="shared" si="129"/>
        <v>16</v>
      </c>
      <c r="K79" s="15">
        <f t="shared" si="129"/>
        <v>15</v>
      </c>
      <c r="L79" s="15">
        <f t="shared" si="129"/>
        <v>14</v>
      </c>
      <c r="M79" s="15">
        <f>+M51</f>
        <v>13</v>
      </c>
      <c r="N79" s="15">
        <f t="shared" si="130"/>
        <v>15</v>
      </c>
      <c r="O79" s="15">
        <f t="shared" si="130"/>
        <v>15</v>
      </c>
      <c r="P79" s="15">
        <f t="shared" si="130"/>
        <v>13</v>
      </c>
      <c r="Q79" s="15">
        <f>+Q51</f>
        <v>13</v>
      </c>
      <c r="R79" s="15">
        <f t="shared" si="131"/>
        <v>17</v>
      </c>
      <c r="S79" s="15">
        <f t="shared" si="131"/>
        <v>17</v>
      </c>
      <c r="T79" s="15">
        <f t="shared" si="131"/>
        <v>20</v>
      </c>
      <c r="U79" s="15">
        <f>+U51</f>
        <v>17</v>
      </c>
      <c r="V79" s="15">
        <f t="shared" si="132"/>
        <v>16</v>
      </c>
      <c r="W79" s="15">
        <f t="shared" si="132"/>
        <v>20</v>
      </c>
      <c r="X79" s="15">
        <f t="shared" si="132"/>
        <v>16</v>
      </c>
      <c r="Y79" s="15">
        <f>+Y51</f>
        <v>21</v>
      </c>
      <c r="Z79" s="15">
        <f t="shared" si="133"/>
        <v>13</v>
      </c>
      <c r="AA79" s="15">
        <f t="shared" si="133"/>
        <v>23</v>
      </c>
      <c r="AB79" s="15">
        <f t="shared" si="133"/>
        <v>28</v>
      </c>
      <c r="AC79" s="15">
        <f>+AC51</f>
        <v>27</v>
      </c>
      <c r="AD79" s="15">
        <f t="shared" si="134"/>
        <v>26</v>
      </c>
      <c r="AE79" s="15">
        <f t="shared" si="134"/>
        <v>33</v>
      </c>
      <c r="AF79" s="15">
        <f t="shared" si="134"/>
        <v>37</v>
      </c>
      <c r="AG79" s="15">
        <f>+AG51</f>
        <v>36</v>
      </c>
      <c r="AH79" s="15">
        <f t="shared" si="135"/>
        <v>32</v>
      </c>
      <c r="AI79" s="15">
        <f t="shared" si="135"/>
        <v>31</v>
      </c>
      <c r="AJ79" s="15">
        <f t="shared" si="135"/>
        <v>38</v>
      </c>
      <c r="AK79" s="15">
        <f>+AK51</f>
        <v>39</v>
      </c>
      <c r="AL79" s="15">
        <f t="shared" si="136"/>
        <v>38</v>
      </c>
      <c r="AM79" s="15">
        <f t="shared" si="136"/>
        <v>47</v>
      </c>
      <c r="AN79" s="15">
        <f t="shared" si="136"/>
        <v>47</v>
      </c>
      <c r="AO79" s="15">
        <f>+AO51</f>
        <v>32</v>
      </c>
      <c r="AP79" s="15">
        <f t="shared" si="137"/>
        <v>36</v>
      </c>
      <c r="AQ79" s="15">
        <f t="shared" si="137"/>
        <v>34</v>
      </c>
      <c r="AR79" s="15">
        <f t="shared" si="137"/>
        <v>41</v>
      </c>
      <c r="AS79" s="15">
        <f>+AS51</f>
        <v>23</v>
      </c>
      <c r="AT79" s="15">
        <f t="shared" si="137"/>
        <v>42</v>
      </c>
      <c r="AU79" s="15">
        <f t="shared" si="137"/>
        <v>29.685000000000002</v>
      </c>
      <c r="AV79" s="86">
        <f t="shared" si="137"/>
        <v>50.314999999999998</v>
      </c>
    </row>
    <row r="80" spans="1:48" ht="15" customHeight="1" x14ac:dyDescent="0.25">
      <c r="B80" s="60" t="s">
        <v>184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ref="AM80:AN99" si="138">+AM52-AL52</f>
        <v>3</v>
      </c>
      <c r="AN80" s="15">
        <f t="shared" si="138"/>
        <v>21</v>
      </c>
      <c r="AO80" s="15">
        <f>+AO52</f>
        <v>1</v>
      </c>
      <c r="AP80" s="15">
        <f t="shared" si="137"/>
        <v>12</v>
      </c>
      <c r="AQ80" s="15">
        <f>+AQ52-AP52</f>
        <v>114</v>
      </c>
      <c r="AR80" s="15">
        <f t="shared" ref="AR80:AR83" si="139">+AR52-AQ52</f>
        <v>31</v>
      </c>
      <c r="AS80" s="15">
        <f>+AS52</f>
        <v>8</v>
      </c>
      <c r="AT80" s="15">
        <f t="shared" si="137"/>
        <v>73</v>
      </c>
      <c r="AU80" s="15">
        <f t="shared" si="137"/>
        <v>66</v>
      </c>
      <c r="AV80" s="86">
        <f t="shared" si="137"/>
        <v>60</v>
      </c>
    </row>
    <row r="81" spans="2:48" ht="15" customHeight="1" x14ac:dyDescent="0.25">
      <c r="B81" s="27" t="s">
        <v>75</v>
      </c>
      <c r="C81" s="13">
        <v>7</v>
      </c>
      <c r="D81" s="13">
        <f t="shared" ref="D81:D87" si="140">+D53-C53</f>
        <v>6</v>
      </c>
      <c r="E81" s="13">
        <f t="shared" ref="E81:E87" si="141">+E53</f>
        <v>6</v>
      </c>
      <c r="F81" s="13">
        <f t="shared" ref="F81:H87" si="142">+F53-E53</f>
        <v>42</v>
      </c>
      <c r="G81" s="13">
        <f t="shared" si="142"/>
        <v>5</v>
      </c>
      <c r="H81" s="13">
        <f t="shared" si="142"/>
        <v>10</v>
      </c>
      <c r="I81" s="13">
        <f t="shared" ref="I81:I87" si="143">+I53</f>
        <v>10</v>
      </c>
      <c r="J81" s="13">
        <f t="shared" ref="J81:L87" si="144">+J53-I53</f>
        <v>16</v>
      </c>
      <c r="K81" s="13">
        <f t="shared" si="144"/>
        <v>15</v>
      </c>
      <c r="L81" s="13">
        <f t="shared" si="144"/>
        <v>13</v>
      </c>
      <c r="M81" s="13">
        <f t="shared" ref="M81:M87" si="145">+M53</f>
        <v>10</v>
      </c>
      <c r="N81" s="13">
        <f t="shared" ref="N81:P87" si="146">+N53-M53</f>
        <v>14</v>
      </c>
      <c r="O81" s="13">
        <f t="shared" si="146"/>
        <v>20</v>
      </c>
      <c r="P81" s="13">
        <f t="shared" si="146"/>
        <v>14</v>
      </c>
      <c r="Q81" s="13">
        <f t="shared" ref="Q81:Q87" si="147">+Q53</f>
        <v>6</v>
      </c>
      <c r="R81" s="13">
        <f t="shared" ref="R81:T87" si="148">+R53-Q53</f>
        <v>5</v>
      </c>
      <c r="S81" s="13">
        <f t="shared" si="148"/>
        <v>48</v>
      </c>
      <c r="T81" s="13">
        <f t="shared" si="148"/>
        <v>2</v>
      </c>
      <c r="U81" s="13">
        <f t="shared" ref="U81:U87" si="149">+U53</f>
        <v>10</v>
      </c>
      <c r="V81" s="13">
        <f t="shared" ref="V81:X87" si="150">+V53-U53</f>
        <v>7</v>
      </c>
      <c r="W81" s="13">
        <f t="shared" si="150"/>
        <v>6</v>
      </c>
      <c r="X81" s="13">
        <f t="shared" si="150"/>
        <v>7</v>
      </c>
      <c r="Y81" s="13">
        <f t="shared" ref="Y81:Y87" si="151">+Y53</f>
        <v>7</v>
      </c>
      <c r="Z81" s="13">
        <f t="shared" ref="Z81:AB87" si="152">+Z53-Y53</f>
        <v>6</v>
      </c>
      <c r="AA81" s="13">
        <f t="shared" si="152"/>
        <v>7</v>
      </c>
      <c r="AB81" s="13">
        <f t="shared" si="152"/>
        <v>6</v>
      </c>
      <c r="AC81" s="13">
        <f t="shared" ref="AC81:AC87" si="153">+AC53</f>
        <v>7</v>
      </c>
      <c r="AD81" s="13">
        <f t="shared" ref="AD81:AF87" si="154">+AD53-AC53</f>
        <v>7</v>
      </c>
      <c r="AE81" s="13">
        <f t="shared" si="154"/>
        <v>7</v>
      </c>
      <c r="AF81" s="13">
        <f t="shared" si="154"/>
        <v>7</v>
      </c>
      <c r="AG81" s="13">
        <f t="shared" ref="AG81:AG87" si="155">+AG53</f>
        <v>7</v>
      </c>
      <c r="AH81" s="13">
        <f t="shared" ref="AH81:AJ87" si="156">+AH53-AG53</f>
        <v>7</v>
      </c>
      <c r="AI81" s="13">
        <f t="shared" si="156"/>
        <v>9.59</v>
      </c>
      <c r="AJ81" s="13">
        <f t="shared" si="156"/>
        <v>9.41</v>
      </c>
      <c r="AK81" s="13">
        <f t="shared" ref="AK81:AK87" si="157">+AK53</f>
        <v>42</v>
      </c>
      <c r="AL81" s="13">
        <f t="shared" ref="AL81:AL87" si="158">+AL53-AK53</f>
        <v>180</v>
      </c>
      <c r="AM81" s="13">
        <f t="shared" si="138"/>
        <v>90.726999999999975</v>
      </c>
      <c r="AN81" s="13">
        <f t="shared" si="138"/>
        <v>38.017000000000053</v>
      </c>
      <c r="AO81" s="13">
        <f t="shared" ref="AO81:AO88" si="159">+AO53</f>
        <v>24.3</v>
      </c>
      <c r="AP81" s="13">
        <f>+AP53-AO53</f>
        <v>15.929999999999996</v>
      </c>
      <c r="AQ81" s="13">
        <f t="shared" si="137"/>
        <v>41.265000000000008</v>
      </c>
      <c r="AR81" s="13">
        <f t="shared" si="139"/>
        <v>52.97</v>
      </c>
      <c r="AS81" s="13">
        <f t="shared" ref="AS81:AS87" si="160">+AS53</f>
        <v>45.704999999999998</v>
      </c>
      <c r="AT81" s="13">
        <f>+AT53-AS53</f>
        <v>21.037000000000006</v>
      </c>
      <c r="AU81" s="13">
        <f t="shared" si="137"/>
        <v>36.341999999999999</v>
      </c>
      <c r="AV81" s="94"/>
    </row>
    <row r="82" spans="2:48" ht="15" customHeight="1" x14ac:dyDescent="0.25">
      <c r="B82" s="29" t="s">
        <v>76</v>
      </c>
      <c r="C82" s="20">
        <v>16</v>
      </c>
      <c r="D82" s="20">
        <f t="shared" si="140"/>
        <v>16</v>
      </c>
      <c r="E82" s="20">
        <f t="shared" si="141"/>
        <v>15</v>
      </c>
      <c r="F82" s="20">
        <f t="shared" si="142"/>
        <v>19</v>
      </c>
      <c r="G82" s="20">
        <f t="shared" si="142"/>
        <v>16</v>
      </c>
      <c r="H82" s="20">
        <f t="shared" si="142"/>
        <v>13</v>
      </c>
      <c r="I82" s="20">
        <f t="shared" si="143"/>
        <v>16</v>
      </c>
      <c r="J82" s="20">
        <f t="shared" si="144"/>
        <v>20</v>
      </c>
      <c r="K82" s="20">
        <f t="shared" si="144"/>
        <v>17</v>
      </c>
      <c r="L82" s="20">
        <f t="shared" si="144"/>
        <v>18</v>
      </c>
      <c r="M82" s="20">
        <f t="shared" si="145"/>
        <v>21</v>
      </c>
      <c r="N82" s="20">
        <f t="shared" si="146"/>
        <v>19</v>
      </c>
      <c r="O82" s="20">
        <f t="shared" si="146"/>
        <v>22</v>
      </c>
      <c r="P82" s="20">
        <f t="shared" si="146"/>
        <v>19</v>
      </c>
      <c r="Q82" s="20">
        <f t="shared" si="147"/>
        <v>18</v>
      </c>
      <c r="R82" s="20">
        <f t="shared" si="148"/>
        <v>21</v>
      </c>
      <c r="S82" s="20">
        <f t="shared" si="148"/>
        <v>19</v>
      </c>
      <c r="T82" s="20">
        <f t="shared" si="148"/>
        <v>10</v>
      </c>
      <c r="U82" s="20">
        <f t="shared" si="149"/>
        <v>18</v>
      </c>
      <c r="V82" s="20">
        <f t="shared" si="150"/>
        <v>18</v>
      </c>
      <c r="W82" s="20">
        <f t="shared" si="150"/>
        <v>14</v>
      </c>
      <c r="X82" s="20">
        <f t="shared" si="150"/>
        <v>17</v>
      </c>
      <c r="Y82" s="20">
        <f t="shared" si="151"/>
        <v>19</v>
      </c>
      <c r="Z82" s="20">
        <f t="shared" si="152"/>
        <v>17</v>
      </c>
      <c r="AA82" s="20">
        <f t="shared" si="152"/>
        <v>15</v>
      </c>
      <c r="AB82" s="20">
        <f t="shared" si="152"/>
        <v>4</v>
      </c>
      <c r="AC82" s="20">
        <f t="shared" si="153"/>
        <v>13</v>
      </c>
      <c r="AD82" s="20">
        <f t="shared" si="154"/>
        <v>18</v>
      </c>
      <c r="AE82" s="20">
        <f t="shared" si="154"/>
        <v>10</v>
      </c>
      <c r="AF82" s="20">
        <f t="shared" si="154"/>
        <v>7</v>
      </c>
      <c r="AG82" s="20">
        <f t="shared" si="155"/>
        <v>7</v>
      </c>
      <c r="AH82" s="20">
        <f t="shared" si="156"/>
        <v>7</v>
      </c>
      <c r="AI82" s="20">
        <f t="shared" si="156"/>
        <v>7.9690000000000012</v>
      </c>
      <c r="AJ82" s="20">
        <f t="shared" si="156"/>
        <v>8.0309999999999988</v>
      </c>
      <c r="AK82" s="20">
        <f t="shared" si="157"/>
        <v>8</v>
      </c>
      <c r="AL82" s="20">
        <f t="shared" si="158"/>
        <v>9</v>
      </c>
      <c r="AM82" s="20">
        <f t="shared" si="138"/>
        <v>8.5609999999999999</v>
      </c>
      <c r="AN82" s="20">
        <f t="shared" si="138"/>
        <v>8.8539999999999992</v>
      </c>
      <c r="AO82" s="20">
        <f t="shared" si="159"/>
        <v>9.6</v>
      </c>
      <c r="AP82" s="20">
        <f>+AP54-AO54</f>
        <v>9.9309999999999992</v>
      </c>
      <c r="AQ82" s="20">
        <f t="shared" si="137"/>
        <v>10.887</v>
      </c>
      <c r="AR82" s="20">
        <f t="shared" si="139"/>
        <v>43.686</v>
      </c>
      <c r="AS82" s="20">
        <f t="shared" si="160"/>
        <v>11.919</v>
      </c>
      <c r="AT82" s="20">
        <f>+AT54-AS54</f>
        <v>11.663999999999998</v>
      </c>
      <c r="AU82" s="20">
        <f t="shared" si="137"/>
        <v>11.71</v>
      </c>
      <c r="AV82" s="20">
        <f t="shared" si="137"/>
        <v>45.705999999999996</v>
      </c>
    </row>
    <row r="83" spans="2:48" ht="15" customHeight="1" x14ac:dyDescent="0.25">
      <c r="B83" s="51" t="s">
        <v>77</v>
      </c>
      <c r="C83" s="52">
        <v>550</v>
      </c>
      <c r="D83" s="52">
        <f t="shared" si="140"/>
        <v>739</v>
      </c>
      <c r="E83" s="52">
        <f t="shared" si="141"/>
        <v>644</v>
      </c>
      <c r="F83" s="52">
        <f t="shared" si="142"/>
        <v>559</v>
      </c>
      <c r="G83" s="52">
        <f t="shared" si="142"/>
        <v>599</v>
      </c>
      <c r="H83" s="52">
        <f t="shared" si="142"/>
        <v>548</v>
      </c>
      <c r="I83" s="52">
        <f t="shared" si="143"/>
        <v>602</v>
      </c>
      <c r="J83" s="52">
        <f t="shared" si="144"/>
        <v>501</v>
      </c>
      <c r="K83" s="52">
        <f t="shared" si="144"/>
        <v>536</v>
      </c>
      <c r="L83" s="52">
        <f t="shared" si="144"/>
        <v>623</v>
      </c>
      <c r="M83" s="52">
        <f t="shared" si="145"/>
        <v>690</v>
      </c>
      <c r="N83" s="52">
        <f t="shared" si="146"/>
        <v>703</v>
      </c>
      <c r="O83" s="52">
        <f t="shared" si="146"/>
        <v>795</v>
      </c>
      <c r="P83" s="52">
        <f t="shared" si="146"/>
        <v>1023</v>
      </c>
      <c r="Q83" s="52">
        <f t="shared" si="147"/>
        <v>1000</v>
      </c>
      <c r="R83" s="52">
        <f t="shared" si="148"/>
        <v>971</v>
      </c>
      <c r="S83" s="52">
        <f t="shared" si="148"/>
        <v>953</v>
      </c>
      <c r="T83" s="52">
        <f t="shared" si="148"/>
        <v>1025</v>
      </c>
      <c r="U83" s="52">
        <f t="shared" si="149"/>
        <v>1059</v>
      </c>
      <c r="V83" s="52">
        <f t="shared" si="150"/>
        <v>905</v>
      </c>
      <c r="W83" s="52">
        <f t="shared" si="150"/>
        <v>907</v>
      </c>
      <c r="X83" s="52">
        <f t="shared" si="150"/>
        <v>975</v>
      </c>
      <c r="Y83" s="52">
        <f t="shared" si="151"/>
        <v>1149</v>
      </c>
      <c r="Z83" s="52">
        <f t="shared" si="152"/>
        <v>993</v>
      </c>
      <c r="AA83" s="52">
        <f t="shared" si="152"/>
        <v>1055</v>
      </c>
      <c r="AB83" s="52">
        <f t="shared" si="152"/>
        <v>1278</v>
      </c>
      <c r="AC83" s="52">
        <f t="shared" si="153"/>
        <v>1091</v>
      </c>
      <c r="AD83" s="52">
        <f t="shared" si="154"/>
        <v>949</v>
      </c>
      <c r="AE83" s="52">
        <f t="shared" si="154"/>
        <v>807</v>
      </c>
      <c r="AF83" s="52">
        <f t="shared" si="154"/>
        <v>1041</v>
      </c>
      <c r="AG83" s="52">
        <f t="shared" si="155"/>
        <v>1373</v>
      </c>
      <c r="AH83" s="52">
        <f t="shared" si="156"/>
        <v>1065</v>
      </c>
      <c r="AI83" s="52">
        <f t="shared" si="156"/>
        <v>975.89300000000003</v>
      </c>
      <c r="AJ83" s="52">
        <f t="shared" si="156"/>
        <v>1323.107</v>
      </c>
      <c r="AK83" s="52">
        <f t="shared" si="157"/>
        <v>1637</v>
      </c>
      <c r="AL83" s="52">
        <f t="shared" si="158"/>
        <v>1707</v>
      </c>
      <c r="AM83" s="52">
        <f t="shared" si="138"/>
        <v>1726.4070000000002</v>
      </c>
      <c r="AN83" s="52">
        <f t="shared" si="138"/>
        <v>2416.7259999999997</v>
      </c>
      <c r="AO83" s="52">
        <f t="shared" si="159"/>
        <v>2265.9</v>
      </c>
      <c r="AP83" s="52">
        <f>+AP55-AO55</f>
        <v>2836.6079999999997</v>
      </c>
      <c r="AQ83" s="52">
        <f t="shared" si="137"/>
        <v>3255.9629999999997</v>
      </c>
      <c r="AR83" s="52">
        <f t="shared" si="139"/>
        <v>3788.7000000000007</v>
      </c>
      <c r="AS83" s="52">
        <f t="shared" si="160"/>
        <v>4587.4780000000001</v>
      </c>
      <c r="AT83" s="52">
        <f>+AT55-AS55</f>
        <v>3718.4049999999997</v>
      </c>
      <c r="AU83" s="52">
        <f t="shared" si="137"/>
        <v>2990.9320000000007</v>
      </c>
      <c r="AV83" s="52">
        <f t="shared" si="137"/>
        <v>3306.5389999999989</v>
      </c>
    </row>
    <row r="84" spans="2:48" ht="15" customHeight="1" x14ac:dyDescent="0.25">
      <c r="B84" s="50" t="s">
        <v>58</v>
      </c>
      <c r="C84" s="11">
        <v>32</v>
      </c>
      <c r="D84" s="11">
        <f t="shared" si="140"/>
        <v>11</v>
      </c>
      <c r="E84" s="11">
        <f t="shared" si="141"/>
        <v>51</v>
      </c>
      <c r="F84" s="11">
        <f t="shared" si="142"/>
        <v>26</v>
      </c>
      <c r="G84" s="11">
        <f t="shared" si="142"/>
        <v>37</v>
      </c>
      <c r="H84" s="11">
        <f t="shared" si="142"/>
        <v>36</v>
      </c>
      <c r="I84" s="11">
        <f t="shared" si="143"/>
        <v>39</v>
      </c>
      <c r="J84" s="11">
        <f t="shared" si="144"/>
        <v>37</v>
      </c>
      <c r="K84" s="11">
        <f t="shared" si="144"/>
        <v>24</v>
      </c>
      <c r="L84" s="11">
        <f t="shared" si="144"/>
        <v>47</v>
      </c>
      <c r="M84" s="11">
        <f t="shared" si="145"/>
        <v>12</v>
      </c>
      <c r="N84" s="11">
        <f t="shared" si="146"/>
        <v>46</v>
      </c>
      <c r="O84" s="11">
        <f t="shared" si="146"/>
        <v>45</v>
      </c>
      <c r="P84" s="11">
        <f t="shared" si="146"/>
        <v>70</v>
      </c>
      <c r="Q84" s="11">
        <f t="shared" si="147"/>
        <v>57</v>
      </c>
      <c r="R84" s="11">
        <f t="shared" si="148"/>
        <v>41</v>
      </c>
      <c r="S84" s="11">
        <f t="shared" si="148"/>
        <v>49</v>
      </c>
      <c r="T84" s="11">
        <f t="shared" si="148"/>
        <v>-5</v>
      </c>
      <c r="U84" s="11">
        <f t="shared" si="149"/>
        <v>57</v>
      </c>
      <c r="V84" s="11">
        <f t="shared" si="150"/>
        <v>-108</v>
      </c>
      <c r="W84" s="11">
        <f t="shared" si="150"/>
        <v>24</v>
      </c>
      <c r="X84" s="11">
        <f t="shared" si="150"/>
        <v>-73</v>
      </c>
      <c r="Y84" s="11">
        <f t="shared" si="151"/>
        <v>52</v>
      </c>
      <c r="Z84" s="11">
        <f t="shared" si="152"/>
        <v>56</v>
      </c>
      <c r="AA84" s="11">
        <f t="shared" si="152"/>
        <v>39</v>
      </c>
      <c r="AB84" s="11">
        <f t="shared" si="152"/>
        <v>-185</v>
      </c>
      <c r="AC84" s="11">
        <f t="shared" si="153"/>
        <v>18</v>
      </c>
      <c r="AD84" s="11">
        <f t="shared" si="154"/>
        <v>61</v>
      </c>
      <c r="AE84" s="11">
        <f t="shared" si="154"/>
        <v>58</v>
      </c>
      <c r="AF84" s="11">
        <f t="shared" si="154"/>
        <v>27</v>
      </c>
      <c r="AG84" s="11">
        <f t="shared" si="155"/>
        <v>71</v>
      </c>
      <c r="AH84" s="11">
        <f t="shared" si="156"/>
        <v>61</v>
      </c>
      <c r="AI84" s="11">
        <f t="shared" si="156"/>
        <v>7</v>
      </c>
      <c r="AJ84" s="11">
        <f t="shared" si="156"/>
        <v>122</v>
      </c>
      <c r="AK84" s="11">
        <f t="shared" si="157"/>
        <v>64</v>
      </c>
      <c r="AL84" s="11">
        <f t="shared" si="158"/>
        <v>169</v>
      </c>
      <c r="AM84" s="11">
        <f t="shared" si="138"/>
        <v>108</v>
      </c>
      <c r="AN84" s="11">
        <f t="shared" si="138"/>
        <v>207</v>
      </c>
      <c r="AO84" s="11">
        <f t="shared" si="159"/>
        <v>162</v>
      </c>
      <c r="AP84" s="11">
        <f>+AP56-AO56</f>
        <v>181</v>
      </c>
      <c r="AQ84" s="11">
        <f t="shared" si="137"/>
        <v>227.75800000000004</v>
      </c>
      <c r="AR84" s="11">
        <f t="shared" ref="AR84" si="161">+AR56-AQ56</f>
        <v>385.00900000000001</v>
      </c>
      <c r="AS84" s="11">
        <f t="shared" si="160"/>
        <v>802.93700000000001</v>
      </c>
      <c r="AT84" s="11">
        <f>+AT56-AS56</f>
        <v>273.57299999999998</v>
      </c>
      <c r="AU84" s="11">
        <f t="shared" si="137"/>
        <v>318.50199999999995</v>
      </c>
      <c r="AV84" s="11">
        <f t="shared" si="137"/>
        <v>52.981999999999971</v>
      </c>
    </row>
    <row r="85" spans="2:48" ht="15" customHeight="1" x14ac:dyDescent="0.25">
      <c r="B85" s="27" t="s">
        <v>74</v>
      </c>
      <c r="C85" s="13">
        <v>44</v>
      </c>
      <c r="D85" s="13">
        <f t="shared" si="140"/>
        <v>-73</v>
      </c>
      <c r="E85" s="13">
        <f t="shared" si="141"/>
        <v>42</v>
      </c>
      <c r="F85" s="13">
        <f t="shared" si="142"/>
        <v>-39</v>
      </c>
      <c r="G85" s="13">
        <f t="shared" si="142"/>
        <v>24</v>
      </c>
      <c r="H85" s="13">
        <f t="shared" si="142"/>
        <v>15</v>
      </c>
      <c r="I85" s="13">
        <f t="shared" si="143"/>
        <v>68</v>
      </c>
      <c r="J85" s="13">
        <f t="shared" si="144"/>
        <v>27</v>
      </c>
      <c r="K85" s="13">
        <f t="shared" si="144"/>
        <v>22</v>
      </c>
      <c r="L85" s="13">
        <f t="shared" si="144"/>
        <v>30</v>
      </c>
      <c r="M85" s="13">
        <f t="shared" si="145"/>
        <v>82</v>
      </c>
      <c r="N85" s="13">
        <f t="shared" si="146"/>
        <v>51</v>
      </c>
      <c r="O85" s="13">
        <f t="shared" si="146"/>
        <v>47</v>
      </c>
      <c r="P85" s="13">
        <f t="shared" si="146"/>
        <v>11</v>
      </c>
      <c r="Q85" s="13">
        <f t="shared" si="147"/>
        <v>41</v>
      </c>
      <c r="R85" s="13">
        <f t="shared" si="148"/>
        <v>50</v>
      </c>
      <c r="S85" s="13">
        <f t="shared" si="148"/>
        <v>16</v>
      </c>
      <c r="T85" s="13">
        <f t="shared" si="148"/>
        <v>30</v>
      </c>
      <c r="U85" s="13">
        <f t="shared" si="149"/>
        <v>63</v>
      </c>
      <c r="V85" s="13">
        <f t="shared" si="150"/>
        <v>11</v>
      </c>
      <c r="W85" s="13">
        <f t="shared" si="150"/>
        <v>16</v>
      </c>
      <c r="X85" s="13">
        <f t="shared" si="150"/>
        <v>27</v>
      </c>
      <c r="Y85" s="13">
        <f t="shared" si="151"/>
        <v>118</v>
      </c>
      <c r="Z85" s="13">
        <f t="shared" si="152"/>
        <v>29</v>
      </c>
      <c r="AA85" s="13">
        <f t="shared" si="152"/>
        <v>49</v>
      </c>
      <c r="AB85" s="13">
        <f t="shared" si="152"/>
        <v>52</v>
      </c>
      <c r="AC85" s="13">
        <f t="shared" si="153"/>
        <v>60</v>
      </c>
      <c r="AD85" s="13">
        <f t="shared" si="154"/>
        <v>27</v>
      </c>
      <c r="AE85" s="13">
        <f t="shared" si="154"/>
        <v>34</v>
      </c>
      <c r="AF85" s="13">
        <f t="shared" si="154"/>
        <v>24</v>
      </c>
      <c r="AG85" s="13">
        <f t="shared" si="155"/>
        <v>121</v>
      </c>
      <c r="AH85" s="13">
        <f t="shared" si="156"/>
        <v>59</v>
      </c>
      <c r="AI85" s="13">
        <f t="shared" si="156"/>
        <v>45</v>
      </c>
      <c r="AJ85" s="13">
        <f t="shared" si="156"/>
        <v>65</v>
      </c>
      <c r="AK85" s="13">
        <f t="shared" si="157"/>
        <v>161</v>
      </c>
      <c r="AL85" s="13">
        <f t="shared" si="158"/>
        <v>85</v>
      </c>
      <c r="AM85" s="13">
        <f t="shared" si="138"/>
        <v>99</v>
      </c>
      <c r="AN85" s="13">
        <f t="shared" si="138"/>
        <v>123</v>
      </c>
      <c r="AO85" s="13">
        <f t="shared" si="159"/>
        <v>136</v>
      </c>
      <c r="AP85" s="13">
        <f t="shared" ref="AP85" si="162">+AP57-AO57</f>
        <v>128.71899999999999</v>
      </c>
      <c r="AQ85" s="13">
        <f t="shared" si="137"/>
        <v>163.69499999999999</v>
      </c>
      <c r="AR85" s="13">
        <f>+AR57-AQ57</f>
        <v>160.851</v>
      </c>
      <c r="AS85" s="13">
        <f t="shared" si="160"/>
        <v>161.78</v>
      </c>
      <c r="AT85" s="13">
        <f t="shared" ref="AT85" si="163">+AT57-AS57</f>
        <v>204.256</v>
      </c>
      <c r="AU85" s="13">
        <f t="shared" si="137"/>
        <v>92.829999999999984</v>
      </c>
      <c r="AV85" s="3">
        <f t="shared" si="137"/>
        <v>95.066000000000031</v>
      </c>
    </row>
    <row r="86" spans="2:48" ht="15" customHeight="1" x14ac:dyDescent="0.25">
      <c r="B86" s="60" t="s">
        <v>185</v>
      </c>
      <c r="C86" s="15">
        <v>39</v>
      </c>
      <c r="D86" s="15">
        <f t="shared" si="140"/>
        <v>-79</v>
      </c>
      <c r="E86" s="15">
        <f t="shared" si="141"/>
        <v>37</v>
      </c>
      <c r="F86" s="15">
        <f t="shared" si="142"/>
        <v>-46</v>
      </c>
      <c r="G86" s="15">
        <f t="shared" si="142"/>
        <v>16</v>
      </c>
      <c r="H86" s="15">
        <f t="shared" si="142"/>
        <v>8</v>
      </c>
      <c r="I86" s="15">
        <f t="shared" si="143"/>
        <v>61</v>
      </c>
      <c r="J86" s="15">
        <f t="shared" si="144"/>
        <v>18</v>
      </c>
      <c r="K86" s="15">
        <f t="shared" si="144"/>
        <v>14</v>
      </c>
      <c r="L86" s="15">
        <f t="shared" si="144"/>
        <v>23</v>
      </c>
      <c r="M86" s="15">
        <f t="shared" si="145"/>
        <v>75</v>
      </c>
      <c r="N86" s="15">
        <f t="shared" si="146"/>
        <v>44</v>
      </c>
      <c r="O86" s="15">
        <f t="shared" si="146"/>
        <v>41</v>
      </c>
      <c r="P86" s="15">
        <f t="shared" si="146"/>
        <v>6</v>
      </c>
      <c r="Q86" s="15">
        <f t="shared" si="147"/>
        <v>36</v>
      </c>
      <c r="R86" s="15">
        <f t="shared" si="148"/>
        <v>43</v>
      </c>
      <c r="S86" s="15">
        <f t="shared" si="148"/>
        <v>9</v>
      </c>
      <c r="T86" s="15">
        <f t="shared" si="148"/>
        <v>22</v>
      </c>
      <c r="U86" s="15">
        <f t="shared" si="149"/>
        <v>56</v>
      </c>
      <c r="V86" s="15">
        <f t="shared" si="150"/>
        <v>4</v>
      </c>
      <c r="W86" s="15">
        <f t="shared" si="150"/>
        <v>7</v>
      </c>
      <c r="X86" s="15">
        <f t="shared" si="150"/>
        <v>20</v>
      </c>
      <c r="Y86" s="15">
        <f t="shared" si="151"/>
        <v>106</v>
      </c>
      <c r="Z86" s="15">
        <f t="shared" si="152"/>
        <v>24</v>
      </c>
      <c r="AA86" s="15">
        <f t="shared" si="152"/>
        <v>39</v>
      </c>
      <c r="AB86" s="15">
        <f t="shared" si="152"/>
        <v>37</v>
      </c>
      <c r="AC86" s="15">
        <f t="shared" si="153"/>
        <v>45</v>
      </c>
      <c r="AD86" s="15">
        <f t="shared" si="154"/>
        <v>13</v>
      </c>
      <c r="AE86" s="15">
        <f t="shared" si="154"/>
        <v>14</v>
      </c>
      <c r="AF86" s="15">
        <f t="shared" si="154"/>
        <v>1</v>
      </c>
      <c r="AG86" s="15">
        <f t="shared" si="155"/>
        <v>98</v>
      </c>
      <c r="AH86" s="15">
        <f t="shared" si="156"/>
        <v>39</v>
      </c>
      <c r="AI86" s="15">
        <f t="shared" si="156"/>
        <v>24</v>
      </c>
      <c r="AJ86" s="15">
        <f t="shared" si="156"/>
        <v>45</v>
      </c>
      <c r="AK86" s="15">
        <f t="shared" si="157"/>
        <v>134</v>
      </c>
      <c r="AL86" s="15">
        <f t="shared" si="158"/>
        <v>59</v>
      </c>
      <c r="AM86" s="15">
        <f t="shared" si="138"/>
        <v>73</v>
      </c>
      <c r="AN86" s="15">
        <f t="shared" si="138"/>
        <v>92</v>
      </c>
      <c r="AO86" s="15">
        <f t="shared" si="159"/>
        <v>116</v>
      </c>
      <c r="AP86" s="15">
        <f t="shared" ref="AP86:AT86" si="164">+AP58-AO58</f>
        <v>96</v>
      </c>
      <c r="AQ86" s="15">
        <f t="shared" si="137"/>
        <v>140</v>
      </c>
      <c r="AR86" s="15">
        <f t="shared" si="164"/>
        <v>144</v>
      </c>
      <c r="AS86" s="15">
        <f t="shared" si="160"/>
        <v>156</v>
      </c>
      <c r="AT86" s="15">
        <f t="shared" si="164"/>
        <v>165</v>
      </c>
      <c r="AU86" s="15">
        <f t="shared" si="137"/>
        <v>85</v>
      </c>
      <c r="AV86" s="86">
        <f>+AV62-AU58</f>
        <v>-486.87799999999999</v>
      </c>
    </row>
    <row r="87" spans="2:48" ht="15" customHeight="1" x14ac:dyDescent="0.25">
      <c r="B87" s="60" t="s">
        <v>170</v>
      </c>
      <c r="C87" s="15">
        <v>5</v>
      </c>
      <c r="D87" s="15">
        <f t="shared" si="140"/>
        <v>5</v>
      </c>
      <c r="E87" s="15">
        <f t="shared" si="141"/>
        <v>5</v>
      </c>
      <c r="F87" s="15">
        <f t="shared" si="142"/>
        <v>7</v>
      </c>
      <c r="G87" s="15">
        <f t="shared" si="142"/>
        <v>8</v>
      </c>
      <c r="H87" s="15">
        <f t="shared" si="142"/>
        <v>7</v>
      </c>
      <c r="I87" s="15">
        <f t="shared" si="143"/>
        <v>7</v>
      </c>
      <c r="J87" s="15">
        <f t="shared" si="144"/>
        <v>9</v>
      </c>
      <c r="K87" s="15">
        <f t="shared" si="144"/>
        <v>8</v>
      </c>
      <c r="L87" s="15">
        <f t="shared" si="144"/>
        <v>7</v>
      </c>
      <c r="M87" s="15">
        <f t="shared" si="145"/>
        <v>7</v>
      </c>
      <c r="N87" s="15">
        <f t="shared" si="146"/>
        <v>7</v>
      </c>
      <c r="O87" s="15">
        <f t="shared" si="146"/>
        <v>6</v>
      </c>
      <c r="P87" s="15">
        <f t="shared" si="146"/>
        <v>5</v>
      </c>
      <c r="Q87" s="15">
        <f t="shared" si="147"/>
        <v>5</v>
      </c>
      <c r="R87" s="15">
        <f t="shared" si="148"/>
        <v>7</v>
      </c>
      <c r="S87" s="15">
        <f t="shared" si="148"/>
        <v>7</v>
      </c>
      <c r="T87" s="15">
        <f t="shared" si="148"/>
        <v>8</v>
      </c>
      <c r="U87" s="15">
        <f t="shared" si="149"/>
        <v>7</v>
      </c>
      <c r="V87" s="15">
        <f t="shared" si="150"/>
        <v>7</v>
      </c>
      <c r="W87" s="15">
        <f t="shared" si="150"/>
        <v>9</v>
      </c>
      <c r="X87" s="15">
        <f t="shared" si="150"/>
        <v>7</v>
      </c>
      <c r="Y87" s="15">
        <f t="shared" si="151"/>
        <v>12</v>
      </c>
      <c r="Z87" s="15">
        <f t="shared" si="152"/>
        <v>5</v>
      </c>
      <c r="AA87" s="15">
        <f t="shared" si="152"/>
        <v>10</v>
      </c>
      <c r="AB87" s="15">
        <f t="shared" si="152"/>
        <v>15</v>
      </c>
      <c r="AC87" s="15">
        <f t="shared" si="153"/>
        <v>15</v>
      </c>
      <c r="AD87" s="15">
        <f t="shared" si="154"/>
        <v>14</v>
      </c>
      <c r="AE87" s="15">
        <f t="shared" si="154"/>
        <v>20</v>
      </c>
      <c r="AF87" s="15">
        <f t="shared" si="154"/>
        <v>23</v>
      </c>
      <c r="AG87" s="15">
        <f t="shared" si="155"/>
        <v>23</v>
      </c>
      <c r="AH87" s="15">
        <f t="shared" si="156"/>
        <v>20</v>
      </c>
      <c r="AI87" s="15">
        <f t="shared" si="156"/>
        <v>20</v>
      </c>
      <c r="AJ87" s="15">
        <f t="shared" si="156"/>
        <v>20</v>
      </c>
      <c r="AK87" s="15">
        <f t="shared" si="157"/>
        <v>26</v>
      </c>
      <c r="AL87" s="15">
        <f t="shared" si="158"/>
        <v>27</v>
      </c>
      <c r="AM87" s="15">
        <f t="shared" si="138"/>
        <v>33</v>
      </c>
      <c r="AN87" s="15">
        <f t="shared" si="138"/>
        <v>34</v>
      </c>
      <c r="AO87" s="15">
        <f t="shared" si="159"/>
        <v>21</v>
      </c>
      <c r="AP87" s="15">
        <f t="shared" ref="AP87:AT87" si="165">+AP59-AO59</f>
        <v>24</v>
      </c>
      <c r="AQ87" s="15">
        <f t="shared" si="137"/>
        <v>22</v>
      </c>
      <c r="AR87" s="15">
        <f t="shared" si="165"/>
        <v>26</v>
      </c>
      <c r="AS87" s="15">
        <f t="shared" si="160"/>
        <v>11</v>
      </c>
      <c r="AT87" s="15">
        <f t="shared" si="165"/>
        <v>28</v>
      </c>
      <c r="AU87" s="15">
        <f t="shared" si="137"/>
        <v>15</v>
      </c>
      <c r="AV87" s="86">
        <f t="shared" si="137"/>
        <v>36</v>
      </c>
    </row>
    <row r="88" spans="2:48" ht="15" customHeight="1" x14ac:dyDescent="0.25">
      <c r="B88" s="60" t="s">
        <v>184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38"/>
        <v>1</v>
      </c>
      <c r="AN88" s="15">
        <f t="shared" si="138"/>
        <v>-1</v>
      </c>
      <c r="AO88" s="15">
        <f t="shared" si="159"/>
        <v>-1</v>
      </c>
      <c r="AP88" s="15">
        <f t="shared" ref="AP88:AU88" si="166">+AP60-AO60</f>
        <v>-1</v>
      </c>
      <c r="AQ88" s="15">
        <f t="shared" si="166"/>
        <v>12</v>
      </c>
      <c r="AR88" s="15">
        <f t="shared" si="166"/>
        <v>-10</v>
      </c>
      <c r="AS88" s="15">
        <f>+AS60-AR60</f>
        <v>-5</v>
      </c>
      <c r="AT88" s="15">
        <f t="shared" si="166"/>
        <v>11</v>
      </c>
      <c r="AU88" s="15">
        <f t="shared" si="166"/>
        <v>-7</v>
      </c>
      <c r="AV88" s="86">
        <f t="shared" si="137"/>
        <v>-10</v>
      </c>
    </row>
    <row r="89" spans="2:48" ht="15" customHeight="1" x14ac:dyDescent="0.25">
      <c r="B89" s="27" t="s">
        <v>75</v>
      </c>
      <c r="C89" s="13">
        <v>-1</v>
      </c>
      <c r="D89" s="13">
        <f t="shared" ref="D89:D95" si="167">+D61-C61</f>
        <v>0</v>
      </c>
      <c r="E89" s="13">
        <f t="shared" ref="E89:E95" si="168">+E61</f>
        <v>0</v>
      </c>
      <c r="F89" s="13">
        <f t="shared" ref="F89:H95" si="169">+F61-E61</f>
        <v>8</v>
      </c>
      <c r="G89" s="13">
        <f t="shared" si="169"/>
        <v>1</v>
      </c>
      <c r="H89" s="13">
        <f t="shared" si="169"/>
        <v>1</v>
      </c>
      <c r="I89" s="13">
        <f t="shared" ref="I89:I95" si="170">+I61</f>
        <v>1</v>
      </c>
      <c r="J89" s="13">
        <f t="shared" ref="J89:L95" si="171">+J61-I61</f>
        <v>1</v>
      </c>
      <c r="K89" s="13">
        <f t="shared" si="171"/>
        <v>0</v>
      </c>
      <c r="L89" s="13">
        <f t="shared" si="171"/>
        <v>0</v>
      </c>
      <c r="M89" s="13">
        <f t="shared" ref="M89:M95" si="172">+M61</f>
        <v>1</v>
      </c>
      <c r="N89" s="13">
        <f t="shared" ref="N89:P95" si="173">+N61-M61</f>
        <v>-1</v>
      </c>
      <c r="O89" s="13">
        <f t="shared" si="173"/>
        <v>1</v>
      </c>
      <c r="P89" s="13">
        <f t="shared" si="173"/>
        <v>1</v>
      </c>
      <c r="Q89" s="13">
        <f t="shared" ref="Q89:Q95" si="174">+Q61</f>
        <v>0</v>
      </c>
      <c r="R89" s="13">
        <f t="shared" ref="R89:T95" si="175">+R61-Q61</f>
        <v>-1</v>
      </c>
      <c r="S89" s="13">
        <f t="shared" si="175"/>
        <v>2</v>
      </c>
      <c r="T89" s="13">
        <f t="shared" si="175"/>
        <v>-1</v>
      </c>
      <c r="U89" s="13">
        <f t="shared" ref="U89:U95" si="176">+U61</f>
        <v>0</v>
      </c>
      <c r="V89" s="13">
        <f t="shared" ref="V89:X95" si="177">+V61-U61</f>
        <v>0</v>
      </c>
      <c r="W89" s="13">
        <f t="shared" si="177"/>
        <v>0</v>
      </c>
      <c r="X89" s="13">
        <f t="shared" si="177"/>
        <v>0</v>
      </c>
      <c r="Y89" s="13">
        <f t="shared" ref="Y89:Y95" si="178">+Y61</f>
        <v>0</v>
      </c>
      <c r="Z89" s="13">
        <f t="shared" ref="Z89:AB95" si="179">+Z61-Y61</f>
        <v>-1</v>
      </c>
      <c r="AA89" s="13">
        <f t="shared" si="179"/>
        <v>-2</v>
      </c>
      <c r="AB89" s="13">
        <f t="shared" si="179"/>
        <v>-4</v>
      </c>
      <c r="AC89" s="13">
        <f t="shared" ref="AC89:AC95" si="180">+AC61</f>
        <v>-1</v>
      </c>
      <c r="AD89" s="13">
        <f t="shared" ref="AD89:AF95" si="181">+AD61-AC61</f>
        <v>-2</v>
      </c>
      <c r="AE89" s="13">
        <f t="shared" si="181"/>
        <v>-1</v>
      </c>
      <c r="AF89" s="13">
        <f t="shared" si="181"/>
        <v>-2</v>
      </c>
      <c r="AG89" s="13">
        <f t="shared" ref="AG89:AG95" si="182">+AG61</f>
        <v>-2</v>
      </c>
      <c r="AH89" s="13">
        <f t="shared" ref="AH89:AJ95" si="183">+AH61-AG61</f>
        <v>-4</v>
      </c>
      <c r="AI89" s="13">
        <f t="shared" si="183"/>
        <v>-2</v>
      </c>
      <c r="AJ89" s="13">
        <f t="shared" si="183"/>
        <v>-3</v>
      </c>
      <c r="AK89" s="13">
        <f t="shared" ref="AK89:AK95" si="184">+AK61</f>
        <v>1</v>
      </c>
      <c r="AL89" s="13">
        <f t="shared" ref="AL89:AL95" si="185">+AL61-AK61</f>
        <v>13</v>
      </c>
      <c r="AM89" s="13">
        <f t="shared" si="138"/>
        <v>-7</v>
      </c>
      <c r="AN89" s="13">
        <f t="shared" si="138"/>
        <v>-3</v>
      </c>
      <c r="AO89" s="13">
        <f t="shared" ref="AO89:AO96" si="186">+AO61</f>
        <v>0.6</v>
      </c>
      <c r="AP89" s="13">
        <f t="shared" ref="AP89:AV99" si="187">+AP61-AO61</f>
        <v>-2.6</v>
      </c>
      <c r="AQ89" s="13">
        <f t="shared" si="187"/>
        <v>3.5529999999999999</v>
      </c>
      <c r="AR89" s="13">
        <f t="shared" si="187"/>
        <v>-4.5529999999999999</v>
      </c>
      <c r="AS89" s="13">
        <f t="shared" ref="AS89:AS96" si="188">+AS61</f>
        <v>4.4989999999999997</v>
      </c>
      <c r="AT89" s="13">
        <f t="shared" si="187"/>
        <v>-0.32299999999999951</v>
      </c>
      <c r="AU89" s="13">
        <f t="shared" si="187"/>
        <v>5.9550000000000001</v>
      </c>
      <c r="AV89" s="94"/>
    </row>
    <row r="90" spans="2:48" ht="15" customHeight="1" x14ac:dyDescent="0.25">
      <c r="B90" s="29" t="s">
        <v>76</v>
      </c>
      <c r="C90" s="20">
        <v>1</v>
      </c>
      <c r="D90" s="20">
        <f t="shared" si="167"/>
        <v>-3</v>
      </c>
      <c r="E90" s="20">
        <f t="shared" si="168"/>
        <v>0</v>
      </c>
      <c r="F90" s="20">
        <f t="shared" si="169"/>
        <v>2</v>
      </c>
      <c r="G90" s="20">
        <f t="shared" si="169"/>
        <v>0</v>
      </c>
      <c r="H90" s="20">
        <f t="shared" si="169"/>
        <v>-1</v>
      </c>
      <c r="I90" s="20">
        <f t="shared" si="170"/>
        <v>1</v>
      </c>
      <c r="J90" s="20">
        <f t="shared" si="171"/>
        <v>2</v>
      </c>
      <c r="K90" s="20">
        <f t="shared" si="171"/>
        <v>0</v>
      </c>
      <c r="L90" s="20">
        <f t="shared" si="171"/>
        <v>0</v>
      </c>
      <c r="M90" s="20">
        <f t="shared" si="172"/>
        <v>-1</v>
      </c>
      <c r="N90" s="20">
        <f t="shared" si="173"/>
        <v>-2</v>
      </c>
      <c r="O90" s="20">
        <f t="shared" si="173"/>
        <v>0</v>
      </c>
      <c r="P90" s="20">
        <f t="shared" si="173"/>
        <v>-1</v>
      </c>
      <c r="Q90" s="20">
        <f t="shared" si="174"/>
        <v>0</v>
      </c>
      <c r="R90" s="20">
        <f t="shared" si="175"/>
        <v>5</v>
      </c>
      <c r="S90" s="20">
        <f t="shared" si="175"/>
        <v>2</v>
      </c>
      <c r="T90" s="20">
        <f t="shared" si="175"/>
        <v>-5</v>
      </c>
      <c r="U90" s="20">
        <f t="shared" si="176"/>
        <v>0</v>
      </c>
      <c r="V90" s="20">
        <f t="shared" si="177"/>
        <v>-2</v>
      </c>
      <c r="W90" s="20">
        <f t="shared" si="177"/>
        <v>-3</v>
      </c>
      <c r="X90" s="20">
        <f t="shared" si="177"/>
        <v>-3</v>
      </c>
      <c r="Y90" s="20">
        <f t="shared" si="178"/>
        <v>-1</v>
      </c>
      <c r="Z90" s="20">
        <f t="shared" si="179"/>
        <v>-2</v>
      </c>
      <c r="AA90" s="20">
        <f t="shared" si="179"/>
        <v>-2</v>
      </c>
      <c r="AB90" s="20">
        <f t="shared" si="179"/>
        <v>-10</v>
      </c>
      <c r="AC90" s="20">
        <f t="shared" si="180"/>
        <v>-4</v>
      </c>
      <c r="AD90" s="20">
        <f t="shared" si="181"/>
        <v>-2</v>
      </c>
      <c r="AE90" s="20">
        <f t="shared" si="181"/>
        <v>0</v>
      </c>
      <c r="AF90" s="20">
        <f t="shared" si="181"/>
        <v>-3</v>
      </c>
      <c r="AG90" s="20">
        <f t="shared" si="182"/>
        <v>-2</v>
      </c>
      <c r="AH90" s="20">
        <f t="shared" si="183"/>
        <v>-4</v>
      </c>
      <c r="AI90" s="20">
        <f t="shared" si="183"/>
        <v>-1</v>
      </c>
      <c r="AJ90" s="20">
        <f t="shared" si="183"/>
        <v>-5</v>
      </c>
      <c r="AK90" s="20">
        <f t="shared" si="184"/>
        <v>-3</v>
      </c>
      <c r="AL90" s="20">
        <f t="shared" si="185"/>
        <v>-4</v>
      </c>
      <c r="AM90" s="20">
        <f t="shared" si="138"/>
        <v>-3</v>
      </c>
      <c r="AN90" s="20">
        <f t="shared" si="138"/>
        <v>-6</v>
      </c>
      <c r="AO90" s="20">
        <f t="shared" si="186"/>
        <v>-3.2</v>
      </c>
      <c r="AP90" s="20">
        <f t="shared" ref="AP90:AT90" si="189">+AP62-AO62</f>
        <v>-8.8000000000000007</v>
      </c>
      <c r="AQ90" s="20">
        <f t="shared" si="187"/>
        <v>-6.7910000000000004</v>
      </c>
      <c r="AR90" s="20">
        <f t="shared" si="189"/>
        <v>-25.209</v>
      </c>
      <c r="AS90" s="20">
        <f t="shared" si="188"/>
        <v>-26.58</v>
      </c>
      <c r="AT90" s="20">
        <f t="shared" si="189"/>
        <v>-22.783999999999999</v>
      </c>
      <c r="AU90" s="20">
        <f t="shared" si="187"/>
        <v>-15.454000000000001</v>
      </c>
      <c r="AV90" s="20">
        <f t="shared" si="137"/>
        <v>-16.060000000000002</v>
      </c>
    </row>
    <row r="91" spans="2:48" ht="15" customHeight="1" x14ac:dyDescent="0.25">
      <c r="B91" s="51" t="s">
        <v>78</v>
      </c>
      <c r="C91" s="52">
        <v>75</v>
      </c>
      <c r="D91" s="52">
        <f t="shared" si="167"/>
        <v>-64</v>
      </c>
      <c r="E91" s="52">
        <f t="shared" si="168"/>
        <v>93</v>
      </c>
      <c r="F91" s="52">
        <f t="shared" si="169"/>
        <v>-3</v>
      </c>
      <c r="G91" s="52">
        <f t="shared" si="169"/>
        <v>62</v>
      </c>
      <c r="H91" s="52">
        <f t="shared" si="169"/>
        <v>50</v>
      </c>
      <c r="I91" s="52">
        <f t="shared" si="170"/>
        <v>108</v>
      </c>
      <c r="J91" s="52">
        <f t="shared" si="171"/>
        <v>68</v>
      </c>
      <c r="K91" s="52">
        <f t="shared" si="171"/>
        <v>47</v>
      </c>
      <c r="L91" s="52">
        <f t="shared" si="171"/>
        <v>76</v>
      </c>
      <c r="M91" s="52">
        <f t="shared" si="172"/>
        <v>94</v>
      </c>
      <c r="N91" s="52">
        <f t="shared" si="173"/>
        <v>95</v>
      </c>
      <c r="O91" s="52">
        <f t="shared" si="173"/>
        <v>93</v>
      </c>
      <c r="P91" s="52">
        <f t="shared" si="173"/>
        <v>80</v>
      </c>
      <c r="Q91" s="52">
        <f t="shared" si="174"/>
        <v>97</v>
      </c>
      <c r="R91" s="52">
        <f t="shared" si="175"/>
        <v>97</v>
      </c>
      <c r="S91" s="52">
        <f t="shared" si="175"/>
        <v>68</v>
      </c>
      <c r="T91" s="52">
        <f t="shared" si="175"/>
        <v>19</v>
      </c>
      <c r="U91" s="52">
        <f t="shared" si="176"/>
        <v>121</v>
      </c>
      <c r="V91" s="52">
        <f t="shared" si="177"/>
        <v>-101</v>
      </c>
      <c r="W91" s="52">
        <f t="shared" si="177"/>
        <v>39</v>
      </c>
      <c r="X91" s="52">
        <f t="shared" si="177"/>
        <v>-49</v>
      </c>
      <c r="Y91" s="52">
        <f t="shared" si="178"/>
        <v>169</v>
      </c>
      <c r="Z91" s="52">
        <f t="shared" si="179"/>
        <v>82</v>
      </c>
      <c r="AA91" s="52">
        <f t="shared" si="179"/>
        <v>84</v>
      </c>
      <c r="AB91" s="52">
        <f t="shared" si="179"/>
        <v>-147</v>
      </c>
      <c r="AC91" s="52">
        <f t="shared" si="180"/>
        <v>74</v>
      </c>
      <c r="AD91" s="52">
        <f t="shared" si="181"/>
        <v>83</v>
      </c>
      <c r="AE91" s="52">
        <f t="shared" si="181"/>
        <v>90</v>
      </c>
      <c r="AF91" s="52">
        <f t="shared" si="181"/>
        <v>47</v>
      </c>
      <c r="AG91" s="52">
        <f t="shared" si="182"/>
        <v>187</v>
      </c>
      <c r="AH91" s="52">
        <f t="shared" si="183"/>
        <v>112</v>
      </c>
      <c r="AI91" s="52">
        <f t="shared" si="183"/>
        <v>50</v>
      </c>
      <c r="AJ91" s="52">
        <f t="shared" si="183"/>
        <v>180</v>
      </c>
      <c r="AK91" s="52">
        <f t="shared" si="184"/>
        <v>223</v>
      </c>
      <c r="AL91" s="52">
        <f t="shared" si="185"/>
        <v>262</v>
      </c>
      <c r="AM91" s="52">
        <f t="shared" si="138"/>
        <v>198</v>
      </c>
      <c r="AN91" s="52">
        <f t="shared" si="138"/>
        <v>322</v>
      </c>
      <c r="AO91" s="52">
        <f t="shared" si="186"/>
        <v>295.5</v>
      </c>
      <c r="AP91" s="52">
        <f t="shared" ref="AP91:AT95" si="190">+AP63-AO63</f>
        <v>297.5</v>
      </c>
      <c r="AQ91" s="52">
        <f t="shared" si="187"/>
        <v>389</v>
      </c>
      <c r="AR91" s="52">
        <f t="shared" si="190"/>
        <v>519.1880000000001</v>
      </c>
      <c r="AS91" s="52">
        <f t="shared" si="188"/>
        <v>942.63599999999997</v>
      </c>
      <c r="AT91" s="52">
        <f t="shared" si="190"/>
        <v>454.72199999999998</v>
      </c>
      <c r="AU91" s="52">
        <f t="shared" si="187"/>
        <v>401.83300000000008</v>
      </c>
      <c r="AV91" s="52">
        <f t="shared" si="137"/>
        <v>121.85699999999997</v>
      </c>
    </row>
    <row r="92" spans="2:48" ht="15" customHeight="1" x14ac:dyDescent="0.25">
      <c r="B92" s="27" t="s">
        <v>58</v>
      </c>
      <c r="C92" s="13">
        <v>1</v>
      </c>
      <c r="D92" s="13">
        <f t="shared" si="167"/>
        <v>-20</v>
      </c>
      <c r="E92" s="13">
        <f t="shared" si="168"/>
        <v>7</v>
      </c>
      <c r="F92" s="13">
        <f t="shared" si="169"/>
        <v>0</v>
      </c>
      <c r="G92" s="13">
        <f t="shared" si="169"/>
        <v>23</v>
      </c>
      <c r="H92" s="13">
        <f t="shared" si="169"/>
        <v>-5</v>
      </c>
      <c r="I92" s="13">
        <f t="shared" si="170"/>
        <v>10</v>
      </c>
      <c r="J92" s="13">
        <f t="shared" si="171"/>
        <v>6</v>
      </c>
      <c r="K92" s="13">
        <f t="shared" si="171"/>
        <v>16</v>
      </c>
      <c r="L92" s="13">
        <f t="shared" si="171"/>
        <v>7</v>
      </c>
      <c r="M92" s="13">
        <f t="shared" si="172"/>
        <v>2</v>
      </c>
      <c r="N92" s="13">
        <f t="shared" si="173"/>
        <v>22</v>
      </c>
      <c r="O92" s="13">
        <f t="shared" si="173"/>
        <v>22</v>
      </c>
      <c r="P92" s="13">
        <f t="shared" si="173"/>
        <v>26</v>
      </c>
      <c r="Q92" s="13">
        <f t="shared" si="174"/>
        <v>37</v>
      </c>
      <c r="R92" s="13">
        <f t="shared" si="175"/>
        <v>9</v>
      </c>
      <c r="S92" s="13">
        <f t="shared" si="175"/>
        <v>28</v>
      </c>
      <c r="T92" s="13">
        <f t="shared" si="175"/>
        <v>-50</v>
      </c>
      <c r="U92" s="13">
        <f t="shared" si="176"/>
        <v>32</v>
      </c>
      <c r="V92" s="13">
        <f t="shared" si="177"/>
        <v>-136</v>
      </c>
      <c r="W92" s="13">
        <f t="shared" si="177"/>
        <v>-11</v>
      </c>
      <c r="X92" s="13">
        <f t="shared" si="177"/>
        <v>-102</v>
      </c>
      <c r="Y92" s="13">
        <f t="shared" si="178"/>
        <v>24</v>
      </c>
      <c r="Z92" s="13">
        <f t="shared" si="179"/>
        <v>18</v>
      </c>
      <c r="AA92" s="13">
        <f t="shared" si="179"/>
        <v>22</v>
      </c>
      <c r="AB92" s="13">
        <f t="shared" si="179"/>
        <v>-261</v>
      </c>
      <c r="AC92" s="13">
        <f t="shared" si="180"/>
        <v>14</v>
      </c>
      <c r="AD92" s="13">
        <f t="shared" si="181"/>
        <v>3</v>
      </c>
      <c r="AE92" s="13">
        <f t="shared" si="181"/>
        <v>15</v>
      </c>
      <c r="AF92" s="13">
        <f t="shared" si="181"/>
        <v>10</v>
      </c>
      <c r="AG92" s="13">
        <f t="shared" si="182"/>
        <v>34</v>
      </c>
      <c r="AH92" s="13">
        <f t="shared" si="183"/>
        <v>16</v>
      </c>
      <c r="AI92" s="13">
        <f t="shared" si="183"/>
        <v>-36.591000000000001</v>
      </c>
      <c r="AJ92" s="13">
        <f t="shared" si="183"/>
        <v>67.590999999999994</v>
      </c>
      <c r="AK92" s="13">
        <f t="shared" si="184"/>
        <v>29</v>
      </c>
      <c r="AL92" s="13">
        <f t="shared" si="185"/>
        <v>131</v>
      </c>
      <c r="AM92" s="13">
        <f t="shared" si="138"/>
        <v>62.769000000000005</v>
      </c>
      <c r="AN92" s="13">
        <f t="shared" si="138"/>
        <v>167.81700000000001</v>
      </c>
      <c r="AO92" s="13">
        <f t="shared" si="186"/>
        <v>130.1</v>
      </c>
      <c r="AP92" s="13">
        <f t="shared" si="190"/>
        <v>148.91100000000003</v>
      </c>
      <c r="AQ92" s="13">
        <f t="shared" si="187"/>
        <v>193.10199999999998</v>
      </c>
      <c r="AR92" s="13">
        <f t="shared" si="190"/>
        <v>243.73999999999995</v>
      </c>
      <c r="AS92" s="13">
        <f t="shared" si="188"/>
        <v>624.78300000000002</v>
      </c>
      <c r="AT92" s="13">
        <f t="shared" si="190"/>
        <v>234.74199999999996</v>
      </c>
      <c r="AU92" s="13">
        <f t="shared" si="187"/>
        <v>202.52800000000013</v>
      </c>
      <c r="AV92" s="3">
        <f t="shared" si="187"/>
        <v>-77.678000000000111</v>
      </c>
    </row>
    <row r="93" spans="2:48" ht="15" customHeight="1" x14ac:dyDescent="0.25">
      <c r="B93" s="27" t="s">
        <v>74</v>
      </c>
      <c r="C93" s="13">
        <v>38</v>
      </c>
      <c r="D93" s="13">
        <f t="shared" si="167"/>
        <v>-99</v>
      </c>
      <c r="E93" s="13">
        <f t="shared" si="168"/>
        <v>9</v>
      </c>
      <c r="F93" s="13">
        <f t="shared" si="169"/>
        <v>-19</v>
      </c>
      <c r="G93" s="13">
        <f t="shared" si="169"/>
        <v>14</v>
      </c>
      <c r="H93" s="13">
        <f t="shared" si="169"/>
        <v>9</v>
      </c>
      <c r="I93" s="13">
        <f t="shared" si="170"/>
        <v>54</v>
      </c>
      <c r="J93" s="13">
        <f t="shared" si="171"/>
        <v>21</v>
      </c>
      <c r="K93" s="13">
        <f t="shared" si="171"/>
        <v>18</v>
      </c>
      <c r="L93" s="13">
        <f t="shared" si="171"/>
        <v>23</v>
      </c>
      <c r="M93" s="13">
        <f t="shared" si="172"/>
        <v>70</v>
      </c>
      <c r="N93" s="13">
        <f t="shared" si="173"/>
        <v>39</v>
      </c>
      <c r="O93" s="13">
        <f t="shared" si="173"/>
        <v>20</v>
      </c>
      <c r="P93" s="13">
        <f t="shared" si="173"/>
        <v>8</v>
      </c>
      <c r="Q93" s="13">
        <f t="shared" si="174"/>
        <v>44</v>
      </c>
      <c r="R93" s="13">
        <f t="shared" si="175"/>
        <v>37</v>
      </c>
      <c r="S93" s="13">
        <f t="shared" si="175"/>
        <v>11</v>
      </c>
      <c r="T93" s="13">
        <f t="shared" si="175"/>
        <v>24</v>
      </c>
      <c r="U93" s="13">
        <f t="shared" si="176"/>
        <v>52</v>
      </c>
      <c r="V93" s="13">
        <f t="shared" si="177"/>
        <v>-19</v>
      </c>
      <c r="W93" s="13">
        <f t="shared" si="177"/>
        <v>0</v>
      </c>
      <c r="X93" s="13">
        <f t="shared" si="177"/>
        <v>30</v>
      </c>
      <c r="Y93" s="13">
        <f t="shared" si="178"/>
        <v>101</v>
      </c>
      <c r="Z93" s="13">
        <f t="shared" si="179"/>
        <v>14</v>
      </c>
      <c r="AA93" s="13">
        <f t="shared" si="179"/>
        <v>35</v>
      </c>
      <c r="AB93" s="13">
        <f t="shared" si="179"/>
        <v>68</v>
      </c>
      <c r="AC93" s="13">
        <f t="shared" si="180"/>
        <v>49</v>
      </c>
      <c r="AD93" s="13">
        <f t="shared" si="181"/>
        <v>15</v>
      </c>
      <c r="AE93" s="13">
        <f t="shared" si="181"/>
        <v>-20</v>
      </c>
      <c r="AF93" s="13">
        <f t="shared" si="181"/>
        <v>31</v>
      </c>
      <c r="AG93" s="13">
        <f t="shared" si="182"/>
        <v>112</v>
      </c>
      <c r="AH93" s="13">
        <f t="shared" si="183"/>
        <v>52</v>
      </c>
      <c r="AI93" s="13">
        <f t="shared" si="183"/>
        <v>9.1750000000000114</v>
      </c>
      <c r="AJ93" s="13">
        <f t="shared" si="183"/>
        <v>-33.175000000000011</v>
      </c>
      <c r="AK93" s="13">
        <f t="shared" si="184"/>
        <v>115</v>
      </c>
      <c r="AL93" s="13">
        <f t="shared" si="185"/>
        <v>93</v>
      </c>
      <c r="AM93" s="13">
        <f t="shared" si="138"/>
        <v>70.238</v>
      </c>
      <c r="AN93" s="13">
        <f t="shared" si="138"/>
        <v>68.413999999999987</v>
      </c>
      <c r="AO93" s="13">
        <f t="shared" si="186"/>
        <v>88</v>
      </c>
      <c r="AP93" s="13">
        <f t="shared" si="190"/>
        <v>57.314999999999998</v>
      </c>
      <c r="AQ93" s="13">
        <f>+AQ65-AP65</f>
        <v>60.344999999999999</v>
      </c>
      <c r="AR93" s="13">
        <f t="shared" si="190"/>
        <v>258.35199999999998</v>
      </c>
      <c r="AS93" s="13">
        <f t="shared" si="188"/>
        <v>116.627</v>
      </c>
      <c r="AT93" s="13">
        <f t="shared" si="190"/>
        <v>155.07999999999998</v>
      </c>
      <c r="AU93" s="13">
        <f t="shared" si="187"/>
        <v>62.620999999999981</v>
      </c>
      <c r="AV93" s="3">
        <f t="shared" si="187"/>
        <v>51.173000000000002</v>
      </c>
    </row>
    <row r="94" spans="2:48" ht="15" customHeight="1" x14ac:dyDescent="0.25">
      <c r="B94" s="60" t="s">
        <v>185</v>
      </c>
      <c r="C94" s="13">
        <v>35</v>
      </c>
      <c r="D94" s="13">
        <f t="shared" si="167"/>
        <v>-102</v>
      </c>
      <c r="E94" s="13">
        <f t="shared" si="168"/>
        <v>6</v>
      </c>
      <c r="F94" s="13">
        <f t="shared" si="169"/>
        <v>-24</v>
      </c>
      <c r="G94" s="13">
        <f t="shared" si="169"/>
        <v>9</v>
      </c>
      <c r="H94" s="13">
        <f t="shared" si="169"/>
        <v>4</v>
      </c>
      <c r="I94" s="13">
        <f t="shared" si="170"/>
        <v>49</v>
      </c>
      <c r="J94" s="13">
        <f t="shared" si="171"/>
        <v>15</v>
      </c>
      <c r="K94" s="13">
        <f t="shared" si="171"/>
        <v>12</v>
      </c>
      <c r="L94" s="13">
        <f t="shared" si="171"/>
        <v>19</v>
      </c>
      <c r="M94" s="13">
        <f t="shared" si="172"/>
        <v>65</v>
      </c>
      <c r="N94" s="13">
        <f t="shared" si="173"/>
        <v>35</v>
      </c>
      <c r="O94" s="13">
        <f t="shared" si="173"/>
        <v>15</v>
      </c>
      <c r="P94" s="13">
        <f t="shared" si="173"/>
        <v>5</v>
      </c>
      <c r="Q94" s="13">
        <f t="shared" si="174"/>
        <v>41</v>
      </c>
      <c r="R94" s="13">
        <f t="shared" si="175"/>
        <v>32</v>
      </c>
      <c r="S94" s="13">
        <f t="shared" si="175"/>
        <v>7</v>
      </c>
      <c r="T94" s="13">
        <f t="shared" si="175"/>
        <v>18</v>
      </c>
      <c r="U94" s="13">
        <f t="shared" si="176"/>
        <v>46</v>
      </c>
      <c r="V94" s="13">
        <f t="shared" si="177"/>
        <v>-23</v>
      </c>
      <c r="W94" s="13">
        <f t="shared" si="177"/>
        <v>-7</v>
      </c>
      <c r="X94" s="13">
        <f t="shared" si="177"/>
        <v>24</v>
      </c>
      <c r="Y94" s="13">
        <f t="shared" si="178"/>
        <v>92</v>
      </c>
      <c r="Z94" s="13">
        <f t="shared" si="179"/>
        <v>10</v>
      </c>
      <c r="AA94" s="13">
        <f t="shared" si="179"/>
        <v>28</v>
      </c>
      <c r="AB94" s="13">
        <f t="shared" si="179"/>
        <v>56</v>
      </c>
      <c r="AC94" s="13">
        <f t="shared" si="180"/>
        <v>37</v>
      </c>
      <c r="AD94" s="13">
        <f t="shared" si="181"/>
        <v>5</v>
      </c>
      <c r="AE94" s="13">
        <f t="shared" si="181"/>
        <v>-35</v>
      </c>
      <c r="AF94" s="13">
        <f t="shared" si="181"/>
        <v>14</v>
      </c>
      <c r="AG94" s="13">
        <f t="shared" si="182"/>
        <v>94</v>
      </c>
      <c r="AH94" s="13">
        <f t="shared" si="183"/>
        <v>36</v>
      </c>
      <c r="AI94" s="13">
        <f t="shared" si="183"/>
        <v>-5</v>
      </c>
      <c r="AJ94" s="13">
        <f t="shared" si="183"/>
        <v>-52</v>
      </c>
      <c r="AK94" s="13">
        <f t="shared" si="184"/>
        <v>95</v>
      </c>
      <c r="AL94" s="13">
        <f t="shared" si="185"/>
        <v>73</v>
      </c>
      <c r="AM94" s="13">
        <f t="shared" si="138"/>
        <v>49</v>
      </c>
      <c r="AN94" s="13">
        <f t="shared" si="138"/>
        <v>39</v>
      </c>
      <c r="AO94" s="13">
        <f t="shared" si="186"/>
        <v>79</v>
      </c>
      <c r="AP94" s="13">
        <f t="shared" si="190"/>
        <v>29</v>
      </c>
      <c r="AQ94" s="13">
        <f t="shared" si="187"/>
        <v>13</v>
      </c>
      <c r="AR94" s="13">
        <f t="shared" si="190"/>
        <v>263</v>
      </c>
      <c r="AS94" s="13">
        <f t="shared" si="188"/>
        <v>111</v>
      </c>
      <c r="AT94" s="13">
        <f t="shared" si="190"/>
        <v>125</v>
      </c>
      <c r="AU94" s="13">
        <f t="shared" si="187"/>
        <v>59</v>
      </c>
      <c r="AV94" s="3">
        <f t="shared" si="187"/>
        <v>36</v>
      </c>
    </row>
    <row r="95" spans="2:48" ht="15" customHeight="1" x14ac:dyDescent="0.25">
      <c r="B95" s="60" t="s">
        <v>170</v>
      </c>
      <c r="C95" s="13">
        <v>3</v>
      </c>
      <c r="D95" s="13">
        <f t="shared" si="167"/>
        <v>3</v>
      </c>
      <c r="E95" s="13">
        <f t="shared" si="168"/>
        <v>3</v>
      </c>
      <c r="F95" s="13">
        <f t="shared" si="169"/>
        <v>5</v>
      </c>
      <c r="G95" s="13">
        <f t="shared" si="169"/>
        <v>5</v>
      </c>
      <c r="H95" s="13">
        <f t="shared" si="169"/>
        <v>5</v>
      </c>
      <c r="I95" s="13">
        <f t="shared" si="170"/>
        <v>5</v>
      </c>
      <c r="J95" s="13">
        <f t="shared" si="171"/>
        <v>6</v>
      </c>
      <c r="K95" s="13">
        <f t="shared" si="171"/>
        <v>6</v>
      </c>
      <c r="L95" s="13">
        <f t="shared" si="171"/>
        <v>4</v>
      </c>
      <c r="M95" s="13">
        <f t="shared" si="172"/>
        <v>5</v>
      </c>
      <c r="N95" s="13">
        <f t="shared" si="173"/>
        <v>4</v>
      </c>
      <c r="O95" s="13">
        <f t="shared" si="173"/>
        <v>5</v>
      </c>
      <c r="P95" s="13">
        <f t="shared" si="173"/>
        <v>3</v>
      </c>
      <c r="Q95" s="13">
        <f t="shared" si="174"/>
        <v>3</v>
      </c>
      <c r="R95" s="13">
        <f t="shared" si="175"/>
        <v>5</v>
      </c>
      <c r="S95" s="13">
        <f t="shared" si="175"/>
        <v>4</v>
      </c>
      <c r="T95" s="13">
        <f t="shared" si="175"/>
        <v>6</v>
      </c>
      <c r="U95" s="13">
        <f t="shared" si="176"/>
        <v>6</v>
      </c>
      <c r="V95" s="13">
        <f t="shared" si="177"/>
        <v>4</v>
      </c>
      <c r="W95" s="13">
        <f t="shared" si="177"/>
        <v>7</v>
      </c>
      <c r="X95" s="13">
        <f t="shared" si="177"/>
        <v>6</v>
      </c>
      <c r="Y95" s="13">
        <f t="shared" si="178"/>
        <v>9</v>
      </c>
      <c r="Z95" s="13">
        <f t="shared" si="179"/>
        <v>4</v>
      </c>
      <c r="AA95" s="13">
        <f t="shared" si="179"/>
        <v>7</v>
      </c>
      <c r="AB95" s="13">
        <f t="shared" si="179"/>
        <v>12</v>
      </c>
      <c r="AC95" s="13">
        <f t="shared" si="180"/>
        <v>12</v>
      </c>
      <c r="AD95" s="13">
        <f t="shared" si="181"/>
        <v>10</v>
      </c>
      <c r="AE95" s="13">
        <f t="shared" si="181"/>
        <v>15</v>
      </c>
      <c r="AF95" s="13">
        <f t="shared" si="181"/>
        <v>17</v>
      </c>
      <c r="AG95" s="13">
        <f t="shared" si="182"/>
        <v>18</v>
      </c>
      <c r="AH95" s="13">
        <f t="shared" si="183"/>
        <v>16</v>
      </c>
      <c r="AI95" s="13">
        <f t="shared" si="183"/>
        <v>14</v>
      </c>
      <c r="AJ95" s="13">
        <f t="shared" si="183"/>
        <v>19</v>
      </c>
      <c r="AK95" s="13">
        <f t="shared" si="184"/>
        <v>20</v>
      </c>
      <c r="AL95" s="13">
        <f t="shared" si="185"/>
        <v>20</v>
      </c>
      <c r="AM95" s="13">
        <f t="shared" si="138"/>
        <v>27</v>
      </c>
      <c r="AN95" s="13">
        <f t="shared" si="138"/>
        <v>26</v>
      </c>
      <c r="AO95" s="13">
        <f t="shared" si="186"/>
        <v>17</v>
      </c>
      <c r="AP95" s="13">
        <f t="shared" si="190"/>
        <v>20</v>
      </c>
      <c r="AQ95" s="13">
        <f t="shared" si="187"/>
        <v>27</v>
      </c>
      <c r="AR95" s="13">
        <f t="shared" si="190"/>
        <v>18</v>
      </c>
      <c r="AS95" s="13">
        <f t="shared" si="188"/>
        <v>10</v>
      </c>
      <c r="AT95" s="13">
        <f t="shared" si="190"/>
        <v>21</v>
      </c>
      <c r="AU95" s="13">
        <f t="shared" si="187"/>
        <v>10</v>
      </c>
      <c r="AV95" s="3">
        <f t="shared" si="187"/>
        <v>27</v>
      </c>
    </row>
    <row r="96" spans="2:48" ht="15" customHeight="1" x14ac:dyDescent="0.25">
      <c r="B96" s="60" t="s">
        <v>184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38"/>
        <v>-1</v>
      </c>
      <c r="AN96" s="13">
        <f t="shared" si="138"/>
        <v>1</v>
      </c>
      <c r="AO96" s="13">
        <f t="shared" si="186"/>
        <v>-8</v>
      </c>
      <c r="AP96" s="13">
        <f t="shared" ref="AP96:AT99" si="191">+AP68-AO68</f>
        <v>2</v>
      </c>
      <c r="AQ96" s="13">
        <f>+AQ68-AP68</f>
        <v>27</v>
      </c>
      <c r="AR96" s="13">
        <f t="shared" si="191"/>
        <v>-23</v>
      </c>
      <c r="AS96" s="13">
        <f t="shared" si="188"/>
        <v>-4</v>
      </c>
      <c r="AT96" s="13">
        <f t="shared" si="191"/>
        <v>11</v>
      </c>
      <c r="AU96" s="13">
        <f t="shared" si="187"/>
        <v>-8</v>
      </c>
      <c r="AV96" s="3">
        <f t="shared" si="187"/>
        <v>-13</v>
      </c>
    </row>
    <row r="97" spans="1:48" ht="15" customHeight="1" x14ac:dyDescent="0.25">
      <c r="B97" s="27" t="s">
        <v>75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2">+F69-E69</f>
        <v>7</v>
      </c>
      <c r="G97" s="13">
        <f t="shared" si="192"/>
        <v>1</v>
      </c>
      <c r="H97" s="13">
        <f t="shared" si="192"/>
        <v>1</v>
      </c>
      <c r="I97" s="13">
        <f>+I69</f>
        <v>0</v>
      </c>
      <c r="J97" s="13">
        <f t="shared" ref="J97:L99" si="193">+J69-I69</f>
        <v>1</v>
      </c>
      <c r="K97" s="13">
        <f t="shared" si="193"/>
        <v>1</v>
      </c>
      <c r="L97" s="13">
        <f t="shared" si="193"/>
        <v>1</v>
      </c>
      <c r="M97" s="13">
        <f>+M69</f>
        <v>1</v>
      </c>
      <c r="N97" s="13">
        <f t="shared" ref="N97:P99" si="194">+N69-M69</f>
        <v>1</v>
      </c>
      <c r="O97" s="13">
        <f t="shared" si="194"/>
        <v>3</v>
      </c>
      <c r="P97" s="13">
        <f t="shared" si="194"/>
        <v>2</v>
      </c>
      <c r="Q97" s="13">
        <f>+Q69</f>
        <v>0</v>
      </c>
      <c r="R97" s="13">
        <f t="shared" ref="R97:T99" si="195">+R69-Q69</f>
        <v>0</v>
      </c>
      <c r="S97" s="13">
        <f t="shared" si="195"/>
        <v>2</v>
      </c>
      <c r="T97" s="13">
        <f t="shared" si="195"/>
        <v>0</v>
      </c>
      <c r="U97" s="13">
        <f>+U69</f>
        <v>1</v>
      </c>
      <c r="V97" s="13">
        <f t="shared" ref="V97:X99" si="196">+V69-U69</f>
        <v>-2</v>
      </c>
      <c r="W97" s="13">
        <f t="shared" si="196"/>
        <v>0</v>
      </c>
      <c r="X97" s="13">
        <f t="shared" si="196"/>
        <v>0</v>
      </c>
      <c r="Y97" s="13">
        <f>+Y69</f>
        <v>0</v>
      </c>
      <c r="Z97" s="13">
        <f t="shared" ref="Z97:AB99" si="197">+Z69-Y69</f>
        <v>0</v>
      </c>
      <c r="AA97" s="13">
        <f t="shared" si="197"/>
        <v>-2</v>
      </c>
      <c r="AB97" s="13">
        <f t="shared" si="197"/>
        <v>-2</v>
      </c>
      <c r="AC97" s="13">
        <f>+AC69</f>
        <v>0</v>
      </c>
      <c r="AD97" s="13">
        <f t="shared" ref="AD97:AF99" si="198">+AD69-AC69</f>
        <v>-1</v>
      </c>
      <c r="AE97" s="13">
        <f t="shared" si="198"/>
        <v>0</v>
      </c>
      <c r="AF97" s="13">
        <f t="shared" si="198"/>
        <v>-1</v>
      </c>
      <c r="AG97" s="13">
        <f>+AG69</f>
        <v>-2</v>
      </c>
      <c r="AH97" s="13">
        <f t="shared" ref="AH97:AJ99" si="199">+AH69-AG69</f>
        <v>-4</v>
      </c>
      <c r="AI97" s="13">
        <f t="shared" si="199"/>
        <v>-1.5789999999999997</v>
      </c>
      <c r="AJ97" s="13">
        <f t="shared" si="199"/>
        <v>18.579000000000001</v>
      </c>
      <c r="AK97" s="13">
        <f>+AK69</f>
        <v>1</v>
      </c>
      <c r="AL97" s="13">
        <f>+AL69-AK69</f>
        <v>10</v>
      </c>
      <c r="AM97" s="13">
        <f t="shared" si="138"/>
        <v>-11.282999999999999</v>
      </c>
      <c r="AN97" s="13">
        <f t="shared" si="13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87"/>
        <v>-6.4059999999999988</v>
      </c>
      <c r="AR97" s="13">
        <f t="shared" si="191"/>
        <v>0.7029999999999994</v>
      </c>
      <c r="AS97" s="13">
        <f>+AS69</f>
        <v>6.984</v>
      </c>
      <c r="AT97" s="13">
        <f>+AT69-AS69</f>
        <v>-7.7320000000000002</v>
      </c>
      <c r="AU97" s="13">
        <f t="shared" si="187"/>
        <v>1.2309999999999999</v>
      </c>
      <c r="AV97" s="94"/>
    </row>
    <row r="98" spans="1:48" ht="15" customHeight="1" x14ac:dyDescent="0.25">
      <c r="B98" s="27" t="s">
        <v>76</v>
      </c>
      <c r="C98" s="13">
        <v>7</v>
      </c>
      <c r="D98" s="13">
        <f>+D70-C70</f>
        <v>-3</v>
      </c>
      <c r="E98" s="13">
        <f>+E70</f>
        <v>-8</v>
      </c>
      <c r="F98" s="13">
        <f t="shared" si="192"/>
        <v>19</v>
      </c>
      <c r="G98" s="13">
        <f t="shared" si="192"/>
        <v>5</v>
      </c>
      <c r="H98" s="13">
        <f t="shared" si="192"/>
        <v>8</v>
      </c>
      <c r="I98" s="13">
        <f>+I70</f>
        <v>2</v>
      </c>
      <c r="J98" s="13">
        <f t="shared" si="193"/>
        <v>12</v>
      </c>
      <c r="K98" s="13">
        <f t="shared" si="193"/>
        <v>6</v>
      </c>
      <c r="L98" s="13">
        <f t="shared" si="193"/>
        <v>-1</v>
      </c>
      <c r="M98" s="13">
        <f>+M70</f>
        <v>4</v>
      </c>
      <c r="N98" s="13">
        <f t="shared" si="194"/>
        <v>5</v>
      </c>
      <c r="O98" s="13">
        <f t="shared" si="194"/>
        <v>8</v>
      </c>
      <c r="P98" s="13">
        <f t="shared" si="194"/>
        <v>11</v>
      </c>
      <c r="Q98" s="13">
        <f>+Q70</f>
        <v>11</v>
      </c>
      <c r="R98" s="13">
        <f t="shared" si="195"/>
        <v>11</v>
      </c>
      <c r="S98" s="13">
        <f t="shared" si="195"/>
        <v>7</v>
      </c>
      <c r="T98" s="13">
        <f t="shared" si="195"/>
        <v>130</v>
      </c>
      <c r="U98" s="13">
        <f>+U70</f>
        <v>62</v>
      </c>
      <c r="V98" s="13">
        <f t="shared" si="196"/>
        <v>15</v>
      </c>
      <c r="W98" s="13">
        <f t="shared" si="196"/>
        <v>12</v>
      </c>
      <c r="X98" s="13">
        <f t="shared" si="196"/>
        <v>3</v>
      </c>
      <c r="Y98" s="13">
        <f>+Y70</f>
        <v>17</v>
      </c>
      <c r="Z98" s="13">
        <f t="shared" si="197"/>
        <v>10</v>
      </c>
      <c r="AA98" s="13">
        <f t="shared" si="197"/>
        <v>14</v>
      </c>
      <c r="AB98" s="13">
        <f t="shared" si="197"/>
        <v>0</v>
      </c>
      <c r="AC98" s="13">
        <f>+AC70</f>
        <v>23</v>
      </c>
      <c r="AD98" s="13">
        <f t="shared" si="198"/>
        <v>13</v>
      </c>
      <c r="AE98" s="13">
        <f t="shared" si="198"/>
        <v>47</v>
      </c>
      <c r="AF98" s="13">
        <f t="shared" si="198"/>
        <v>-5</v>
      </c>
      <c r="AG98" s="13">
        <f>+AG70</f>
        <v>6</v>
      </c>
      <c r="AH98" s="13">
        <f t="shared" si="199"/>
        <v>10</v>
      </c>
      <c r="AI98" s="13">
        <f t="shared" si="199"/>
        <v>19.283000000000001</v>
      </c>
      <c r="AJ98" s="13">
        <f t="shared" si="199"/>
        <v>63.716999999999999</v>
      </c>
      <c r="AK98" s="13">
        <f>+AK70</f>
        <v>16</v>
      </c>
      <c r="AL98" s="13">
        <f>+AL70-AK70</f>
        <v>-10</v>
      </c>
      <c r="AM98" s="13">
        <f t="shared" si="138"/>
        <v>9.3800000000000008</v>
      </c>
      <c r="AN98" s="13">
        <f t="shared" si="13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1"/>
        <v>-107.70500000000001</v>
      </c>
      <c r="AS98" s="13">
        <f>+AS70</f>
        <v>32.511000000000003</v>
      </c>
      <c r="AT98" s="13">
        <f>+AT70-AS70</f>
        <v>16.366</v>
      </c>
      <c r="AU98" s="13">
        <f t="shared" si="187"/>
        <v>-9.392000000000003</v>
      </c>
      <c r="AV98" s="3">
        <f t="shared" si="187"/>
        <v>5.4979999999999976</v>
      </c>
    </row>
    <row r="99" spans="1:48" ht="15" customHeight="1" x14ac:dyDescent="0.25">
      <c r="A99" s="65" t="s">
        <v>165</v>
      </c>
      <c r="B99" s="51" t="s">
        <v>79</v>
      </c>
      <c r="C99" s="52">
        <v>45</v>
      </c>
      <c r="D99" s="52">
        <f>+D71-C71</f>
        <v>-127</v>
      </c>
      <c r="E99" s="52">
        <f>+E71</f>
        <v>6</v>
      </c>
      <c r="F99" s="52">
        <f t="shared" si="192"/>
        <v>6</v>
      </c>
      <c r="G99" s="52">
        <f t="shared" si="192"/>
        <v>45</v>
      </c>
      <c r="H99" s="52">
        <f t="shared" si="192"/>
        <v>12</v>
      </c>
      <c r="I99" s="52">
        <f>+I71</f>
        <v>67</v>
      </c>
      <c r="J99" s="52">
        <f t="shared" si="193"/>
        <v>39</v>
      </c>
      <c r="K99" s="52">
        <f t="shared" si="193"/>
        <v>41</v>
      </c>
      <c r="L99" s="52">
        <f t="shared" si="193"/>
        <v>31</v>
      </c>
      <c r="M99" s="52">
        <f>+M71</f>
        <v>76</v>
      </c>
      <c r="N99" s="52">
        <f t="shared" si="194"/>
        <v>67</v>
      </c>
      <c r="O99" s="52">
        <f t="shared" si="194"/>
        <v>54</v>
      </c>
      <c r="P99" s="52">
        <f t="shared" si="194"/>
        <v>46</v>
      </c>
      <c r="Q99" s="52">
        <f>+Q71</f>
        <v>92</v>
      </c>
      <c r="R99" s="52">
        <f t="shared" si="195"/>
        <v>58</v>
      </c>
      <c r="S99" s="52">
        <f t="shared" si="195"/>
        <v>48</v>
      </c>
      <c r="T99" s="52">
        <f t="shared" si="195"/>
        <v>102</v>
      </c>
      <c r="U99" s="52">
        <f>+U71</f>
        <v>147</v>
      </c>
      <c r="V99" s="52">
        <f t="shared" si="196"/>
        <v>-141</v>
      </c>
      <c r="W99" s="52">
        <f t="shared" si="196"/>
        <v>0</v>
      </c>
      <c r="X99" s="52">
        <f t="shared" si="196"/>
        <v>-70</v>
      </c>
      <c r="Y99" s="52">
        <f>+Y71</f>
        <v>142</v>
      </c>
      <c r="Z99" s="52">
        <f t="shared" si="197"/>
        <v>42</v>
      </c>
      <c r="AA99" s="52">
        <f t="shared" si="197"/>
        <v>69</v>
      </c>
      <c r="AB99" s="52">
        <f t="shared" si="197"/>
        <v>-195</v>
      </c>
      <c r="AC99" s="52">
        <f>+AC71</f>
        <v>85</v>
      </c>
      <c r="AD99" s="52">
        <f t="shared" si="198"/>
        <v>30</v>
      </c>
      <c r="AE99" s="52">
        <f t="shared" si="198"/>
        <v>43</v>
      </c>
      <c r="AF99" s="52">
        <f t="shared" si="198"/>
        <v>35</v>
      </c>
      <c r="AG99" s="52">
        <f>+AG71</f>
        <v>150</v>
      </c>
      <c r="AH99" s="52">
        <f t="shared" si="199"/>
        <v>74</v>
      </c>
      <c r="AI99" s="52">
        <f t="shared" si="199"/>
        <v>-9.7119999999999891</v>
      </c>
      <c r="AJ99" s="52">
        <f t="shared" si="199"/>
        <v>115.71199999999999</v>
      </c>
      <c r="AK99" s="52">
        <f>+AK71</f>
        <v>161</v>
      </c>
      <c r="AL99" s="52">
        <f>+AL71-AK71</f>
        <v>224</v>
      </c>
      <c r="AM99" s="52">
        <f t="shared" si="138"/>
        <v>131.10400000000004</v>
      </c>
      <c r="AN99" s="52">
        <f t="shared" si="138"/>
        <v>254.62399999999991</v>
      </c>
      <c r="AO99" s="52">
        <f>+AO71</f>
        <v>241.1</v>
      </c>
      <c r="AP99" s="52">
        <f>+AP71-AO71</f>
        <v>279.29200000000003</v>
      </c>
      <c r="AQ99" s="52">
        <v>446.79700000000003</v>
      </c>
      <c r="AR99" s="52">
        <f t="shared" si="191"/>
        <v>433.58299999999838</v>
      </c>
      <c r="AS99" s="52">
        <f>+AS71</f>
        <v>780.90499999999997</v>
      </c>
      <c r="AT99" s="52">
        <f>+AT71-AS71</f>
        <v>398.45600000000013</v>
      </c>
      <c r="AU99" s="52">
        <f t="shared" si="187"/>
        <v>256.98799999999983</v>
      </c>
      <c r="AV99" s="52">
        <f t="shared" si="187"/>
        <v>-21.490000000000009</v>
      </c>
    </row>
    <row r="100" spans="1:48" x14ac:dyDescent="0.25">
      <c r="AV100" s="83"/>
    </row>
    <row r="102" spans="1:48" ht="20.100000000000001" customHeight="1" x14ac:dyDescent="0.25">
      <c r="B102" s="36" t="s">
        <v>112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:48" x14ac:dyDescent="0.25">
      <c r="B103" s="38" t="s">
        <v>65</v>
      </c>
      <c r="C103" s="39" t="s">
        <v>99</v>
      </c>
      <c r="D103" s="39">
        <v>2008</v>
      </c>
      <c r="E103" s="39" t="s">
        <v>100</v>
      </c>
      <c r="F103" s="39" t="s">
        <v>101</v>
      </c>
      <c r="G103" s="39" t="s">
        <v>102</v>
      </c>
      <c r="H103" s="39">
        <v>2009</v>
      </c>
      <c r="I103" s="39" t="s">
        <v>103</v>
      </c>
      <c r="J103" s="39" t="s">
        <v>104</v>
      </c>
      <c r="K103" s="39" t="s">
        <v>105</v>
      </c>
      <c r="L103" s="39">
        <v>2010</v>
      </c>
      <c r="M103" s="39" t="s">
        <v>106</v>
      </c>
      <c r="N103" s="39" t="s">
        <v>107</v>
      </c>
      <c r="O103" s="39" t="s">
        <v>108</v>
      </c>
      <c r="P103" s="39">
        <v>2011</v>
      </c>
      <c r="Q103" s="39" t="s">
        <v>96</v>
      </c>
      <c r="R103" s="39" t="s">
        <v>97</v>
      </c>
      <c r="S103" s="39" t="s">
        <v>98</v>
      </c>
      <c r="T103" s="39">
        <v>2012</v>
      </c>
      <c r="U103" s="39" t="s">
        <v>93</v>
      </c>
      <c r="V103" s="39" t="s">
        <v>94</v>
      </c>
      <c r="W103" s="39" t="s">
        <v>95</v>
      </c>
      <c r="X103" s="39">
        <v>2013</v>
      </c>
      <c r="Y103" s="39" t="s">
        <v>90</v>
      </c>
      <c r="Z103" s="39" t="s">
        <v>91</v>
      </c>
      <c r="AA103" s="39" t="s">
        <v>92</v>
      </c>
      <c r="AB103" s="39">
        <v>2014</v>
      </c>
      <c r="AC103" s="39" t="s">
        <v>87</v>
      </c>
      <c r="AD103" s="39" t="s">
        <v>88</v>
      </c>
      <c r="AE103" s="39" t="s">
        <v>89</v>
      </c>
      <c r="AF103" s="39">
        <v>2015</v>
      </c>
      <c r="AG103" s="39" t="s">
        <v>84</v>
      </c>
      <c r="AH103" s="39" t="s">
        <v>85</v>
      </c>
      <c r="AI103" s="39" t="s">
        <v>86</v>
      </c>
      <c r="AJ103" s="39">
        <v>2016</v>
      </c>
      <c r="AK103" s="39" t="s">
        <v>83</v>
      </c>
      <c r="AL103" s="39" t="s">
        <v>82</v>
      </c>
      <c r="AM103" s="39" t="s">
        <v>81</v>
      </c>
      <c r="AN103" s="39">
        <v>2017</v>
      </c>
      <c r="AO103" s="39" t="s">
        <v>172</v>
      </c>
      <c r="AP103" s="39" t="s">
        <v>175</v>
      </c>
      <c r="AQ103" s="39" t="s">
        <v>177</v>
      </c>
      <c r="AR103" s="39">
        <v>2018</v>
      </c>
      <c r="AS103" s="39" t="s">
        <v>188</v>
      </c>
      <c r="AT103" s="39" t="s">
        <v>190</v>
      </c>
      <c r="AU103" s="39" t="s">
        <v>193</v>
      </c>
      <c r="AV103" s="39">
        <v>2019</v>
      </c>
    </row>
    <row r="104" spans="1:48" ht="15" customHeight="1" x14ac:dyDescent="0.25">
      <c r="B104" s="50" t="s">
        <v>113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3">
        <v>4725.6019999999999</v>
      </c>
      <c r="AR104" s="3">
        <v>4581.6000000000004</v>
      </c>
      <c r="AS104" s="3">
        <v>4520.4250000000002</v>
      </c>
      <c r="AT104" s="3">
        <v>4292.25</v>
      </c>
      <c r="AU104" s="3">
        <v>3977.0259999999998</v>
      </c>
      <c r="AV104" s="3">
        <v>4094.625</v>
      </c>
    </row>
    <row r="105" spans="1:48" ht="15" customHeight="1" x14ac:dyDescent="0.25">
      <c r="B105" s="27" t="s">
        <v>114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3">
        <v>1738.7550000000001</v>
      </c>
      <c r="AR105" s="3">
        <v>1444.2840000000001</v>
      </c>
      <c r="AS105" s="3">
        <v>2323.915</v>
      </c>
      <c r="AT105" s="3">
        <v>2086.7939999999999</v>
      </c>
      <c r="AU105" s="3">
        <v>1399.9860000000001</v>
      </c>
      <c r="AV105" s="3">
        <v>1953.336</v>
      </c>
    </row>
    <row r="106" spans="1:48" ht="15" customHeight="1" x14ac:dyDescent="0.25">
      <c r="B106" s="27" t="s">
        <v>115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3">
        <v>1384.643</v>
      </c>
      <c r="AR106" s="3">
        <v>1370.5650000000001</v>
      </c>
      <c r="AS106" s="3">
        <v>1151.3779999999999</v>
      </c>
      <c r="AT106" s="3">
        <v>1225.769</v>
      </c>
      <c r="AU106" s="3">
        <v>1739.1</v>
      </c>
      <c r="AV106" s="3">
        <v>1448.934</v>
      </c>
    </row>
    <row r="107" spans="1:48" ht="15" customHeight="1" x14ac:dyDescent="0.25">
      <c r="B107" s="27" t="s">
        <v>116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3">
        <v>2011.8140000000001</v>
      </c>
      <c r="AR107" s="88">
        <v>1989.2260000000001</v>
      </c>
      <c r="AS107" s="3">
        <v>2044.829</v>
      </c>
      <c r="AT107" s="3">
        <v>2051.9180000000001</v>
      </c>
      <c r="AU107" s="3">
        <v>2061.1680000000001</v>
      </c>
      <c r="AV107" s="3">
        <v>2135.2060000000001</v>
      </c>
    </row>
    <row r="108" spans="1:48" ht="15" customHeight="1" x14ac:dyDescent="0.25">
      <c r="B108" s="27" t="s">
        <v>117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3">
        <v>165.41399999999999</v>
      </c>
      <c r="AR108" s="3">
        <v>115.012</v>
      </c>
      <c r="AS108" s="3">
        <v>121.779</v>
      </c>
      <c r="AT108" s="3">
        <v>127.13500000000001</v>
      </c>
      <c r="AU108" s="3">
        <v>193.32400000000001</v>
      </c>
      <c r="AV108" s="3">
        <v>106.459</v>
      </c>
    </row>
    <row r="109" spans="1:48" ht="15" customHeight="1" x14ac:dyDescent="0.25">
      <c r="B109" s="51" t="s">
        <v>118</v>
      </c>
      <c r="C109" s="52">
        <v>2830.81</v>
      </c>
      <c r="D109" s="52">
        <v>2996.2440000000001</v>
      </c>
      <c r="E109" s="52">
        <v>2982.7330000000002</v>
      </c>
      <c r="F109" s="52">
        <v>2885.585</v>
      </c>
      <c r="G109" s="52">
        <v>2888.4549999999999</v>
      </c>
      <c r="H109" s="52">
        <v>2773.8229999999999</v>
      </c>
      <c r="I109" s="52">
        <v>2884.32</v>
      </c>
      <c r="J109" s="52">
        <v>2883.6410000000001</v>
      </c>
      <c r="K109" s="52">
        <v>2849.6840000000002</v>
      </c>
      <c r="L109" s="52">
        <v>3065.8809999999999</v>
      </c>
      <c r="M109" s="52">
        <v>3208.2350000000001</v>
      </c>
      <c r="N109" s="52">
        <v>3392.2379999999998</v>
      </c>
      <c r="O109" s="52">
        <v>3665.16</v>
      </c>
      <c r="P109" s="52">
        <v>3747.73</v>
      </c>
      <c r="Q109" s="52">
        <v>3944.578</v>
      </c>
      <c r="R109" s="52">
        <v>3991.5329999999999</v>
      </c>
      <c r="S109" s="52">
        <v>3957.6469999999999</v>
      </c>
      <c r="T109" s="52">
        <v>4129.6210000000001</v>
      </c>
      <c r="U109" s="52">
        <v>4430.8040000000001</v>
      </c>
      <c r="V109" s="52">
        <v>4260.2610000000004</v>
      </c>
      <c r="W109" s="52">
        <v>4455.0550000000003</v>
      </c>
      <c r="X109" s="52">
        <v>4697.42</v>
      </c>
      <c r="Y109" s="52">
        <v>4907.5519999999997</v>
      </c>
      <c r="Z109" s="52">
        <v>4907.424</v>
      </c>
      <c r="AA109" s="52">
        <v>4996.6959999999999</v>
      </c>
      <c r="AB109" s="52">
        <v>4955.482</v>
      </c>
      <c r="AC109" s="52">
        <v>5346.2049999999999</v>
      </c>
      <c r="AD109" s="52">
        <v>5479.5439999999999</v>
      </c>
      <c r="AE109" s="52">
        <v>6086.8969999999999</v>
      </c>
      <c r="AF109" s="52">
        <v>5626.0550000000003</v>
      </c>
      <c r="AG109" s="52">
        <v>5661.7860000000001</v>
      </c>
      <c r="AH109" s="52">
        <v>5649.2950000000001</v>
      </c>
      <c r="AI109" s="52">
        <v>5769.5810000000001</v>
      </c>
      <c r="AJ109" s="52">
        <v>6668.8090000000002</v>
      </c>
      <c r="AK109" s="52">
        <v>8561.5390000000007</v>
      </c>
      <c r="AL109" s="52">
        <v>8500.5419999999995</v>
      </c>
      <c r="AM109" s="52">
        <v>8368.6669999999995</v>
      </c>
      <c r="AN109" s="52">
        <v>9366.75</v>
      </c>
      <c r="AO109" s="52">
        <v>9836.6239999999998</v>
      </c>
      <c r="AP109" s="52">
        <v>10610.319</v>
      </c>
      <c r="AQ109" s="52">
        <v>12847.915000000001</v>
      </c>
      <c r="AR109" s="52">
        <v>12035.52</v>
      </c>
      <c r="AS109" s="52">
        <v>13435.368</v>
      </c>
      <c r="AT109" s="52">
        <v>12460.67</v>
      </c>
      <c r="AU109" s="52">
        <v>12241.508</v>
      </c>
      <c r="AV109" s="52">
        <v>12663.147999999999</v>
      </c>
    </row>
    <row r="110" spans="1:48" ht="15" customHeight="1" x14ac:dyDescent="0.25">
      <c r="B110" s="27" t="s">
        <v>119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3">
        <v>3194.837</v>
      </c>
      <c r="AR110" s="3">
        <v>2863.7689999999998</v>
      </c>
      <c r="AS110" s="3">
        <v>3004.8710000000001</v>
      </c>
      <c r="AT110" s="3">
        <v>2922.511</v>
      </c>
      <c r="AU110" s="3">
        <v>2903.4319999999998</v>
      </c>
      <c r="AV110" s="3">
        <v>3330.48</v>
      </c>
    </row>
    <row r="111" spans="1:48" ht="15" customHeight="1" x14ac:dyDescent="0.25">
      <c r="B111" s="27" t="s">
        <v>120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3">
        <f>783.6+178.323</f>
        <v>961.923</v>
      </c>
      <c r="AR111" s="3">
        <f>740.233+155.621</f>
        <v>895.85399999999993</v>
      </c>
      <c r="AS111" s="3">
        <f>537.246+183.738</f>
        <v>720.98399999999992</v>
      </c>
      <c r="AT111" s="3">
        <f>542.341+203.866</f>
        <v>746.20699999999999</v>
      </c>
      <c r="AU111" s="3">
        <f>583.766+183.372</f>
        <v>767.13799999999992</v>
      </c>
      <c r="AV111" s="3">
        <f>407.897+212.591</f>
        <v>620.48800000000006</v>
      </c>
    </row>
    <row r="112" spans="1:48" ht="15" customHeight="1" x14ac:dyDescent="0.25">
      <c r="B112" s="27" t="s">
        <v>121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3">
        <v>348.18599999999998</v>
      </c>
      <c r="AR112" s="3">
        <v>222.327</v>
      </c>
      <c r="AS112" s="3">
        <v>97.45</v>
      </c>
      <c r="AT112" s="3">
        <v>111.151</v>
      </c>
      <c r="AU112" s="3">
        <v>69.896000000000001</v>
      </c>
      <c r="AV112" s="3">
        <v>215.458</v>
      </c>
    </row>
    <row r="113" spans="1:48" ht="15" customHeight="1" x14ac:dyDescent="0.25">
      <c r="B113" s="27" t="s">
        <v>122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3">
        <v>4223.5420000000004</v>
      </c>
      <c r="AR113" s="3">
        <v>4424.3950000000004</v>
      </c>
      <c r="AS113" s="3">
        <v>4874.2209999999995</v>
      </c>
      <c r="AT113" s="3">
        <v>5171.0259999999998</v>
      </c>
      <c r="AU113" s="3">
        <v>5391.201</v>
      </c>
      <c r="AV113" s="3">
        <v>5496.87</v>
      </c>
    </row>
    <row r="114" spans="1:48" ht="15" customHeight="1" x14ac:dyDescent="0.25">
      <c r="A114" s="65" t="s">
        <v>165</v>
      </c>
      <c r="B114" s="51" t="s">
        <v>123</v>
      </c>
      <c r="C114" s="52">
        <v>2830.81</v>
      </c>
      <c r="D114" s="52">
        <v>2996.2440000000001</v>
      </c>
      <c r="E114" s="52">
        <v>2982.7330000000002</v>
      </c>
      <c r="F114" s="52">
        <v>2885.585</v>
      </c>
      <c r="G114" s="52">
        <v>2888.4549999999999</v>
      </c>
      <c r="H114" s="52">
        <v>2773.8229999999999</v>
      </c>
      <c r="I114" s="52">
        <v>2884.32</v>
      </c>
      <c r="J114" s="52">
        <v>2883.6410000000001</v>
      </c>
      <c r="K114" s="52">
        <v>2849.6840000000002</v>
      </c>
      <c r="L114" s="52">
        <v>3065.8809999999999</v>
      </c>
      <c r="M114" s="52">
        <v>3208.2350000000001</v>
      </c>
      <c r="N114" s="52">
        <v>3392.2379999999998</v>
      </c>
      <c r="O114" s="52">
        <v>3665.16</v>
      </c>
      <c r="P114" s="52">
        <v>3747.73</v>
      </c>
      <c r="Q114" s="52">
        <v>3944.578</v>
      </c>
      <c r="R114" s="52">
        <v>3991.5329999999999</v>
      </c>
      <c r="S114" s="52">
        <v>3957.6469999999999</v>
      </c>
      <c r="T114" s="52">
        <v>4129.6210000000001</v>
      </c>
      <c r="U114" s="52">
        <v>4430.8040000000001</v>
      </c>
      <c r="V114" s="52">
        <v>4260.2610000000004</v>
      </c>
      <c r="W114" s="52">
        <v>4455.0550000000003</v>
      </c>
      <c r="X114" s="52">
        <v>4697.42</v>
      </c>
      <c r="Y114" s="52">
        <v>4907.5519999999997</v>
      </c>
      <c r="Z114" s="52">
        <v>4907.424</v>
      </c>
      <c r="AA114" s="52">
        <v>4996.6959999999999</v>
      </c>
      <c r="AB114" s="52">
        <v>4955.482</v>
      </c>
      <c r="AC114" s="52">
        <v>5346.2049999999999</v>
      </c>
      <c r="AD114" s="52">
        <v>5479.5439999999999</v>
      </c>
      <c r="AE114" s="52">
        <v>6086.8969999999999</v>
      </c>
      <c r="AF114" s="52">
        <v>5626.0550000000003</v>
      </c>
      <c r="AG114" s="52">
        <v>5661.7860000000001</v>
      </c>
      <c r="AH114" s="52">
        <v>5649.2950000000001</v>
      </c>
      <c r="AI114" s="52">
        <v>5769.5810000000001</v>
      </c>
      <c r="AJ114" s="52">
        <v>6668.8090000000002</v>
      </c>
      <c r="AK114" s="52">
        <v>8561.5390000000007</v>
      </c>
      <c r="AL114" s="52">
        <v>8500.5419999999995</v>
      </c>
      <c r="AM114" s="52">
        <v>8368.6669999999995</v>
      </c>
      <c r="AN114" s="52">
        <v>9366.75</v>
      </c>
      <c r="AO114" s="52">
        <v>9836.6239999999998</v>
      </c>
      <c r="AP114" s="52">
        <v>10610.319</v>
      </c>
      <c r="AQ114" s="52">
        <v>12847.915000000001</v>
      </c>
      <c r="AR114" s="52">
        <v>12035.52</v>
      </c>
      <c r="AS114" s="52">
        <v>13435.368</v>
      </c>
      <c r="AT114" s="52">
        <v>12460.67</v>
      </c>
      <c r="AU114" s="52">
        <v>12241.508</v>
      </c>
      <c r="AV114" s="52">
        <v>12663.147999999999</v>
      </c>
    </row>
    <row r="117" spans="1:48" ht="20.100000000000001" customHeight="1" x14ac:dyDescent="0.25">
      <c r="B117" s="36" t="s">
        <v>155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</row>
    <row r="118" spans="1:48" x14ac:dyDescent="0.25">
      <c r="B118" s="38" t="s">
        <v>65</v>
      </c>
      <c r="C118" s="39" t="s">
        <v>99</v>
      </c>
      <c r="D118" s="39">
        <v>2008</v>
      </c>
      <c r="E118" s="39" t="s">
        <v>100</v>
      </c>
      <c r="F118" s="39" t="s">
        <v>101</v>
      </c>
      <c r="G118" s="39" t="s">
        <v>102</v>
      </c>
      <c r="H118" s="39">
        <v>2009</v>
      </c>
      <c r="I118" s="39" t="s">
        <v>103</v>
      </c>
      <c r="J118" s="39" t="s">
        <v>104</v>
      </c>
      <c r="K118" s="39" t="s">
        <v>105</v>
      </c>
      <c r="L118" s="39">
        <v>2010</v>
      </c>
      <c r="M118" s="39" t="s">
        <v>106</v>
      </c>
      <c r="N118" s="39" t="s">
        <v>107</v>
      </c>
      <c r="O118" s="39" t="s">
        <v>108</v>
      </c>
      <c r="P118" s="39">
        <v>2011</v>
      </c>
      <c r="Q118" s="39" t="s">
        <v>96</v>
      </c>
      <c r="R118" s="39" t="s">
        <v>97</v>
      </c>
      <c r="S118" s="39" t="s">
        <v>98</v>
      </c>
      <c r="T118" s="39">
        <v>2012</v>
      </c>
      <c r="U118" s="39" t="s">
        <v>93</v>
      </c>
      <c r="V118" s="39" t="s">
        <v>94</v>
      </c>
      <c r="W118" s="39" t="s">
        <v>95</v>
      </c>
      <c r="X118" s="39">
        <v>2013</v>
      </c>
      <c r="Y118" s="39" t="s">
        <v>90</v>
      </c>
      <c r="Z118" s="39" t="s">
        <v>91</v>
      </c>
      <c r="AA118" s="39" t="s">
        <v>92</v>
      </c>
      <c r="AB118" s="39">
        <v>2014</v>
      </c>
      <c r="AC118" s="39" t="s">
        <v>87</v>
      </c>
      <c r="AD118" s="39" t="s">
        <v>88</v>
      </c>
      <c r="AE118" s="39" t="s">
        <v>89</v>
      </c>
      <c r="AF118" s="39">
        <v>2015</v>
      </c>
      <c r="AG118" s="39" t="s">
        <v>84</v>
      </c>
      <c r="AH118" s="39" t="s">
        <v>85</v>
      </c>
      <c r="AI118" s="39" t="s">
        <v>86</v>
      </c>
      <c r="AJ118" s="39">
        <v>2016</v>
      </c>
      <c r="AK118" s="39" t="s">
        <v>83</v>
      </c>
      <c r="AL118" s="39" t="s">
        <v>82</v>
      </c>
      <c r="AM118" s="39" t="s">
        <v>81</v>
      </c>
      <c r="AN118" s="39">
        <v>2017</v>
      </c>
      <c r="AO118" s="39" t="s">
        <v>172</v>
      </c>
      <c r="AP118" s="39" t="s">
        <v>175</v>
      </c>
      <c r="AQ118" s="39" t="s">
        <v>177</v>
      </c>
      <c r="AR118" s="39">
        <v>2018</v>
      </c>
      <c r="AS118" s="39" t="s">
        <v>188</v>
      </c>
      <c r="AT118" s="39" t="s">
        <v>190</v>
      </c>
      <c r="AU118" s="39" t="s">
        <v>193</v>
      </c>
      <c r="AV118" s="39">
        <v>2019</v>
      </c>
    </row>
    <row r="119" spans="1:48" ht="15" customHeight="1" x14ac:dyDescent="0.25">
      <c r="B119" s="27" t="s">
        <v>58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5">
      <c r="B120" s="27" t="s">
        <v>74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88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5">
      <c r="B121" s="27" t="s">
        <v>75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88">
        <v>598.12400000000002</v>
      </c>
      <c r="AS121" s="3">
        <v>528.24599999999998</v>
      </c>
      <c r="AT121" s="3">
        <v>492.74700000000001</v>
      </c>
      <c r="AU121" s="3">
        <v>450.553</v>
      </c>
      <c r="AV121" s="94"/>
    </row>
    <row r="122" spans="1:48" ht="15" customHeight="1" x14ac:dyDescent="0.25">
      <c r="B122" s="27" t="s">
        <v>76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88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5">
      <c r="B123" s="27" t="s">
        <v>160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154</v>
      </c>
      <c r="I123" s="3">
        <v>-777.74599999999998</v>
      </c>
      <c r="J123" s="3" t="s">
        <v>154</v>
      </c>
      <c r="K123" s="3" t="s">
        <v>154</v>
      </c>
      <c r="L123" s="3" t="s">
        <v>154</v>
      </c>
      <c r="M123" s="3" t="s">
        <v>154</v>
      </c>
      <c r="N123" s="3" t="s">
        <v>154</v>
      </c>
      <c r="O123" s="3" t="s">
        <v>154</v>
      </c>
      <c r="P123" s="3" t="s">
        <v>154</v>
      </c>
      <c r="Q123" s="3" t="s">
        <v>154</v>
      </c>
      <c r="R123" s="3" t="s">
        <v>154</v>
      </c>
      <c r="S123" s="3" t="s">
        <v>154</v>
      </c>
      <c r="T123" s="3" t="s">
        <v>154</v>
      </c>
      <c r="U123" s="3" t="s">
        <v>154</v>
      </c>
      <c r="V123" s="3" t="s">
        <v>154</v>
      </c>
      <c r="W123" s="3" t="s">
        <v>154</v>
      </c>
      <c r="X123" s="3" t="s">
        <v>154</v>
      </c>
      <c r="Y123" s="3" t="s">
        <v>154</v>
      </c>
      <c r="Z123" s="3" t="s">
        <v>154</v>
      </c>
      <c r="AA123" s="3" t="s">
        <v>154</v>
      </c>
      <c r="AB123" s="3" t="s">
        <v>154</v>
      </c>
      <c r="AC123" s="3" t="s">
        <v>154</v>
      </c>
      <c r="AD123" s="3" t="s">
        <v>154</v>
      </c>
      <c r="AE123" s="3" t="s">
        <v>154</v>
      </c>
      <c r="AF123" s="3" t="s">
        <v>154</v>
      </c>
      <c r="AG123" s="3" t="s">
        <v>154</v>
      </c>
      <c r="AH123" s="3" t="s">
        <v>154</v>
      </c>
      <c r="AI123" s="3" t="s">
        <v>154</v>
      </c>
      <c r="AJ123" s="3" t="s">
        <v>154</v>
      </c>
      <c r="AK123" s="3" t="s">
        <v>154</v>
      </c>
      <c r="AL123" s="3" t="s">
        <v>154</v>
      </c>
      <c r="AM123" s="3" t="s">
        <v>154</v>
      </c>
      <c r="AN123" s="3" t="s">
        <v>154</v>
      </c>
      <c r="AO123" s="3" t="s">
        <v>154</v>
      </c>
      <c r="AP123" s="3" t="s">
        <v>154</v>
      </c>
      <c r="AQ123" s="3" t="s">
        <v>154</v>
      </c>
      <c r="AR123" s="88" t="s">
        <v>154</v>
      </c>
      <c r="AS123" s="3" t="s">
        <v>154</v>
      </c>
      <c r="AT123" s="3" t="s">
        <v>154</v>
      </c>
      <c r="AU123" s="3" t="s">
        <v>154</v>
      </c>
      <c r="AV123" s="3"/>
    </row>
    <row r="124" spans="1:48" ht="15" customHeight="1" x14ac:dyDescent="0.25">
      <c r="B124" s="51" t="s">
        <v>156</v>
      </c>
      <c r="C124" s="52">
        <f>+SUM(C119:C123)</f>
        <v>2830.8099999999995</v>
      </c>
      <c r="D124" s="52">
        <f t="shared" ref="D124:AN124" si="200">+SUM(D119:D123)</f>
        <v>2996.75</v>
      </c>
      <c r="E124" s="52">
        <f t="shared" si="200"/>
        <v>2982.7260000000006</v>
      </c>
      <c r="F124" s="52">
        <f t="shared" si="200"/>
        <v>2885.585</v>
      </c>
      <c r="G124" s="52">
        <f t="shared" si="200"/>
        <v>2888.4550000000004</v>
      </c>
      <c r="H124" s="52">
        <f t="shared" si="200"/>
        <v>2773.8229999999999</v>
      </c>
      <c r="I124" s="52">
        <f t="shared" si="200"/>
        <v>2884.3199999999997</v>
      </c>
      <c r="J124" s="52">
        <f t="shared" si="200"/>
        <v>2883.6409999999996</v>
      </c>
      <c r="K124" s="52">
        <f t="shared" si="200"/>
        <v>2849.6839999999997</v>
      </c>
      <c r="L124" s="52">
        <f t="shared" si="200"/>
        <v>3065.8809999999994</v>
      </c>
      <c r="M124" s="52">
        <f t="shared" si="200"/>
        <v>3208.2350000000006</v>
      </c>
      <c r="N124" s="52">
        <f t="shared" si="200"/>
        <v>3392.2380000000003</v>
      </c>
      <c r="O124" s="52">
        <f t="shared" si="200"/>
        <v>3665.16</v>
      </c>
      <c r="P124" s="52">
        <f t="shared" si="200"/>
        <v>3747.73</v>
      </c>
      <c r="Q124" s="52">
        <f t="shared" si="200"/>
        <v>3944.578</v>
      </c>
      <c r="R124" s="52">
        <f t="shared" si="200"/>
        <v>3991.5329999999999</v>
      </c>
      <c r="S124" s="52">
        <f t="shared" si="200"/>
        <v>3957.6470000000004</v>
      </c>
      <c r="T124" s="52">
        <f t="shared" si="200"/>
        <v>4129.6210000000001</v>
      </c>
      <c r="U124" s="52">
        <f t="shared" si="200"/>
        <v>4430.8040000000001</v>
      </c>
      <c r="V124" s="52">
        <f t="shared" si="200"/>
        <v>4260.2609999999995</v>
      </c>
      <c r="W124" s="52">
        <f t="shared" si="200"/>
        <v>4455.0550000000003</v>
      </c>
      <c r="X124" s="52">
        <f t="shared" si="200"/>
        <v>4697.42</v>
      </c>
      <c r="Y124" s="52">
        <f t="shared" si="200"/>
        <v>4907.5519999999997</v>
      </c>
      <c r="Z124" s="52">
        <f t="shared" si="200"/>
        <v>4907.424</v>
      </c>
      <c r="AA124" s="52">
        <f t="shared" si="200"/>
        <v>4996.6959999999999</v>
      </c>
      <c r="AB124" s="52">
        <f t="shared" si="200"/>
        <v>4955.482</v>
      </c>
      <c r="AC124" s="52">
        <f t="shared" si="200"/>
        <v>5346.2049999999999</v>
      </c>
      <c r="AD124" s="52">
        <f t="shared" si="200"/>
        <v>5479.5439999999999</v>
      </c>
      <c r="AE124" s="52">
        <f t="shared" si="200"/>
        <v>6086.896999999999</v>
      </c>
      <c r="AF124" s="52">
        <f t="shared" si="200"/>
        <v>5626.0550000000003</v>
      </c>
      <c r="AG124" s="52">
        <f t="shared" si="200"/>
        <v>5661.7859999999991</v>
      </c>
      <c r="AH124" s="52">
        <f t="shared" si="200"/>
        <v>5649.2950000000001</v>
      </c>
      <c r="AI124" s="52">
        <f t="shared" si="200"/>
        <v>5769.5810000000001</v>
      </c>
      <c r="AJ124" s="52">
        <f t="shared" si="200"/>
        <v>6668.8090000000002</v>
      </c>
      <c r="AK124" s="52">
        <f t="shared" si="200"/>
        <v>8561.5390000000007</v>
      </c>
      <c r="AL124" s="52">
        <f t="shared" si="200"/>
        <v>8500.5419999999995</v>
      </c>
      <c r="AM124" s="52">
        <f t="shared" si="200"/>
        <v>8368.6669999999995</v>
      </c>
      <c r="AN124" s="52">
        <f t="shared" si="200"/>
        <v>9366.75</v>
      </c>
      <c r="AO124" s="52">
        <v>9836.6239999999998</v>
      </c>
      <c r="AP124" s="52">
        <v>10610.319</v>
      </c>
      <c r="AQ124" s="52">
        <v>12847.915000000001</v>
      </c>
      <c r="AR124" s="97">
        <v>12035.52</v>
      </c>
      <c r="AS124" s="52">
        <v>13435.368</v>
      </c>
      <c r="AT124" s="52">
        <v>12460.67</v>
      </c>
      <c r="AU124" s="52">
        <v>12241.508</v>
      </c>
      <c r="AV124" s="52">
        <v>12663.147999999999</v>
      </c>
    </row>
    <row r="125" spans="1:48" ht="15" customHeight="1" x14ac:dyDescent="0.25">
      <c r="B125" s="27" t="s">
        <v>58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88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5">
      <c r="B126" s="27" t="s">
        <v>74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88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5">
      <c r="B127" s="27" t="s">
        <v>75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88">
        <v>375.69499999999999</v>
      </c>
      <c r="AS127" s="3">
        <v>299.48099999999999</v>
      </c>
      <c r="AT127" s="3">
        <v>273.221</v>
      </c>
      <c r="AU127" s="3">
        <v>231.16200000000001</v>
      </c>
      <c r="AV127" s="94"/>
    </row>
    <row r="128" spans="1:48" ht="15" customHeight="1" x14ac:dyDescent="0.25">
      <c r="B128" s="27" t="s">
        <v>76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5">
      <c r="B129" s="27" t="s">
        <v>160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154</v>
      </c>
      <c r="I129" s="3">
        <v>-55.210999999999999</v>
      </c>
      <c r="J129" s="3" t="s">
        <v>154</v>
      </c>
      <c r="K129" s="3" t="s">
        <v>154</v>
      </c>
      <c r="L129" s="3" t="s">
        <v>154</v>
      </c>
      <c r="M129" s="3" t="s">
        <v>154</v>
      </c>
      <c r="N129" s="3" t="s">
        <v>154</v>
      </c>
      <c r="O129" s="3" t="s">
        <v>154</v>
      </c>
      <c r="P129" s="3" t="s">
        <v>154</v>
      </c>
      <c r="Q129" s="3" t="s">
        <v>154</v>
      </c>
      <c r="R129" s="3" t="s">
        <v>154</v>
      </c>
      <c r="S129" s="3" t="s">
        <v>154</v>
      </c>
      <c r="T129" s="3" t="s">
        <v>154</v>
      </c>
      <c r="U129" s="3" t="s">
        <v>154</v>
      </c>
      <c r="V129" s="3" t="s">
        <v>154</v>
      </c>
      <c r="W129" s="3" t="s">
        <v>154</v>
      </c>
      <c r="X129" s="3" t="s">
        <v>154</v>
      </c>
      <c r="Y129" s="3" t="s">
        <v>154</v>
      </c>
      <c r="Z129" s="3" t="s">
        <v>154</v>
      </c>
      <c r="AA129" s="3" t="s">
        <v>154</v>
      </c>
      <c r="AB129" s="3" t="s">
        <v>154</v>
      </c>
      <c r="AC129" s="3" t="s">
        <v>154</v>
      </c>
      <c r="AD129" s="3" t="s">
        <v>154</v>
      </c>
      <c r="AE129" s="3" t="s">
        <v>154</v>
      </c>
      <c r="AF129" s="3" t="s">
        <v>154</v>
      </c>
      <c r="AG129" s="3" t="s">
        <v>154</v>
      </c>
      <c r="AH129" s="3" t="s">
        <v>154</v>
      </c>
      <c r="AI129" s="3" t="s">
        <v>154</v>
      </c>
      <c r="AJ129" s="3" t="s">
        <v>154</v>
      </c>
      <c r="AK129" s="3" t="s">
        <v>154</v>
      </c>
      <c r="AL129" s="3" t="s">
        <v>154</v>
      </c>
      <c r="AM129" s="3" t="s">
        <v>154</v>
      </c>
      <c r="AN129" s="3" t="s">
        <v>154</v>
      </c>
      <c r="AO129" s="3" t="s">
        <v>154</v>
      </c>
      <c r="AP129" s="3" t="s">
        <v>154</v>
      </c>
      <c r="AQ129" s="3" t="s">
        <v>154</v>
      </c>
      <c r="AR129" s="3" t="s">
        <v>154</v>
      </c>
      <c r="AS129" s="3" t="s">
        <v>154</v>
      </c>
      <c r="AT129" s="3" t="s">
        <v>154</v>
      </c>
      <c r="AU129" s="3" t="s">
        <v>154</v>
      </c>
      <c r="AV129" s="3" t="s">
        <v>154</v>
      </c>
    </row>
    <row r="130" spans="1:48" ht="15" customHeight="1" x14ac:dyDescent="0.25">
      <c r="B130" s="51" t="s">
        <v>157</v>
      </c>
      <c r="C130" s="52">
        <f t="shared" ref="C130:H130" si="201">+SUM(C125:C129)</f>
        <v>1409.7550000000001</v>
      </c>
      <c r="D130" s="52">
        <f t="shared" si="201"/>
        <v>1654.027</v>
      </c>
      <c r="E130" s="52">
        <f t="shared" si="201"/>
        <v>1579.242</v>
      </c>
      <c r="F130" s="52">
        <f t="shared" si="201"/>
        <v>1502.184</v>
      </c>
      <c r="G130" s="52">
        <f t="shared" si="201"/>
        <v>1457.1510000000001</v>
      </c>
      <c r="H130" s="52">
        <f t="shared" si="201"/>
        <v>1329.915</v>
      </c>
      <c r="I130" s="52">
        <f>+SUM(I125:I129)</f>
        <v>1320.434</v>
      </c>
      <c r="J130" s="52">
        <f t="shared" ref="J130:AN130" si="202">+SUM(J125:J129)</f>
        <v>1307.0089999999998</v>
      </c>
      <c r="K130" s="52">
        <f t="shared" si="202"/>
        <v>1268.2499999999998</v>
      </c>
      <c r="L130" s="52">
        <f t="shared" si="202"/>
        <v>1383.202</v>
      </c>
      <c r="M130" s="52">
        <f t="shared" si="202"/>
        <v>1461.1219999999998</v>
      </c>
      <c r="N130" s="52">
        <f t="shared" si="202"/>
        <v>1627.7920000000001</v>
      </c>
      <c r="O130" s="52">
        <f t="shared" si="202"/>
        <v>1820.1080000000002</v>
      </c>
      <c r="P130" s="52">
        <f t="shared" si="202"/>
        <v>1860.124</v>
      </c>
      <c r="Q130" s="52">
        <f t="shared" si="202"/>
        <v>1952.3000000000002</v>
      </c>
      <c r="R130" s="52">
        <f t="shared" si="202"/>
        <v>2035.1330000000003</v>
      </c>
      <c r="S130" s="52">
        <f t="shared" si="202"/>
        <v>1962.1670000000001</v>
      </c>
      <c r="T130" s="52">
        <f t="shared" si="202"/>
        <v>2018.356</v>
      </c>
      <c r="U130" s="52">
        <f t="shared" si="202"/>
        <v>2180.3870000000002</v>
      </c>
      <c r="V130" s="52">
        <f t="shared" si="202"/>
        <v>2279.5920000000001</v>
      </c>
      <c r="W130" s="52">
        <f t="shared" si="202"/>
        <v>2460.5189999999998</v>
      </c>
      <c r="X130" s="52">
        <f t="shared" si="202"/>
        <v>2775.223</v>
      </c>
      <c r="Y130" s="52">
        <f t="shared" si="202"/>
        <v>2825.8669999999997</v>
      </c>
      <c r="Z130" s="52">
        <f t="shared" si="202"/>
        <v>2811.2549999999997</v>
      </c>
      <c r="AA130" s="52">
        <f t="shared" si="202"/>
        <v>2803.5349999999999</v>
      </c>
      <c r="AB130" s="52">
        <f t="shared" si="202"/>
        <v>2959.4180000000001</v>
      </c>
      <c r="AC130" s="52">
        <f t="shared" si="202"/>
        <v>3278.8409999999999</v>
      </c>
      <c r="AD130" s="52">
        <f t="shared" si="202"/>
        <v>3420.4290000000001</v>
      </c>
      <c r="AE130" s="52">
        <f t="shared" si="202"/>
        <v>3966.817</v>
      </c>
      <c r="AF130" s="52">
        <f t="shared" si="202"/>
        <v>3540.92</v>
      </c>
      <c r="AG130" s="52">
        <f t="shared" si="202"/>
        <v>3494.2889999999998</v>
      </c>
      <c r="AH130" s="52">
        <f t="shared" si="202"/>
        <v>3421.741</v>
      </c>
      <c r="AI130" s="52">
        <f t="shared" si="202"/>
        <v>3551.2679999999996</v>
      </c>
      <c r="AJ130" s="52">
        <f t="shared" si="202"/>
        <v>4289.3519999999999</v>
      </c>
      <c r="AK130" s="52">
        <f t="shared" si="202"/>
        <v>6144.9930000000004</v>
      </c>
      <c r="AL130" s="52">
        <f t="shared" si="202"/>
        <v>5899.2859999999991</v>
      </c>
      <c r="AM130" s="52">
        <f t="shared" si="202"/>
        <v>5645.2480000000005</v>
      </c>
      <c r="AN130" s="52">
        <f t="shared" si="202"/>
        <v>6358.4359999999997</v>
      </c>
      <c r="AO130" s="52">
        <v>6785.6859999999997</v>
      </c>
      <c r="AP130" s="52">
        <v>7176.2669999999998</v>
      </c>
      <c r="AQ130" s="52">
        <v>8624.3729999999996</v>
      </c>
      <c r="AR130" s="52">
        <v>7611.125</v>
      </c>
      <c r="AS130" s="52">
        <v>8561.1470000000008</v>
      </c>
      <c r="AT130" s="52">
        <v>7289.6440000000002</v>
      </c>
      <c r="AU130" s="52">
        <v>6850.3069999999998</v>
      </c>
      <c r="AV130" s="52">
        <v>7166.2780000000002</v>
      </c>
    </row>
    <row r="131" spans="1:48" ht="15" customHeight="1" x14ac:dyDescent="0.25">
      <c r="B131" s="27" t="s">
        <v>58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5">
      <c r="B132" s="27" t="s">
        <v>74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5">
      <c r="B133" s="27" t="s">
        <v>75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4"/>
    </row>
    <row r="134" spans="1:48" ht="15" customHeight="1" x14ac:dyDescent="0.25">
      <c r="B134" s="27" t="s">
        <v>76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5">
      <c r="B135" s="27" t="s">
        <v>160</v>
      </c>
      <c r="C135" s="3">
        <v>-869.31</v>
      </c>
      <c r="D135" s="3">
        <v>-849.86099999999999</v>
      </c>
      <c r="E135" s="3">
        <v>-875.93</v>
      </c>
      <c r="F135" s="3" t="s">
        <v>154</v>
      </c>
      <c r="G135" s="3">
        <v>-818.38400000000001</v>
      </c>
      <c r="H135" s="3" t="s">
        <v>154</v>
      </c>
      <c r="I135" s="3">
        <v>-808.46900000000005</v>
      </c>
      <c r="J135" s="3" t="s">
        <v>154</v>
      </c>
      <c r="K135" s="3" t="s">
        <v>154</v>
      </c>
      <c r="L135" s="3" t="s">
        <v>154</v>
      </c>
      <c r="M135" s="3" t="s">
        <v>154</v>
      </c>
      <c r="N135" s="3" t="s">
        <v>154</v>
      </c>
      <c r="O135" s="3" t="s">
        <v>154</v>
      </c>
      <c r="P135" s="3" t="s">
        <v>154</v>
      </c>
      <c r="Q135" s="3" t="s">
        <v>154</v>
      </c>
      <c r="R135" s="3" t="s">
        <v>154</v>
      </c>
      <c r="S135" s="3" t="s">
        <v>154</v>
      </c>
      <c r="T135" s="3" t="s">
        <v>154</v>
      </c>
      <c r="U135" s="3" t="s">
        <v>154</v>
      </c>
      <c r="V135" s="3" t="s">
        <v>154</v>
      </c>
      <c r="W135" s="3" t="s">
        <v>154</v>
      </c>
      <c r="X135" s="3" t="s">
        <v>154</v>
      </c>
      <c r="Y135" s="3" t="s">
        <v>154</v>
      </c>
      <c r="Z135" s="3" t="s">
        <v>154</v>
      </c>
      <c r="AA135" s="3" t="s">
        <v>154</v>
      </c>
      <c r="AB135" s="3" t="s">
        <v>154</v>
      </c>
      <c r="AC135" s="3" t="s">
        <v>154</v>
      </c>
      <c r="AD135" s="3" t="s">
        <v>154</v>
      </c>
      <c r="AE135" s="3" t="s">
        <v>154</v>
      </c>
      <c r="AF135" s="3" t="s">
        <v>154</v>
      </c>
      <c r="AG135" s="3" t="s">
        <v>154</v>
      </c>
      <c r="AH135" s="3" t="s">
        <v>154</v>
      </c>
      <c r="AI135" s="3" t="s">
        <v>154</v>
      </c>
      <c r="AJ135" s="3" t="s">
        <v>154</v>
      </c>
      <c r="AK135" s="3" t="s">
        <v>154</v>
      </c>
      <c r="AL135" s="3" t="s">
        <v>154</v>
      </c>
      <c r="AM135" s="3" t="s">
        <v>154</v>
      </c>
      <c r="AN135" s="3" t="s">
        <v>154</v>
      </c>
      <c r="AO135" s="3" t="s">
        <v>154</v>
      </c>
      <c r="AP135" s="3" t="s">
        <v>154</v>
      </c>
      <c r="AQ135" s="3" t="s">
        <v>154</v>
      </c>
      <c r="AR135" s="3" t="s">
        <v>154</v>
      </c>
      <c r="AS135" s="3" t="s">
        <v>154</v>
      </c>
      <c r="AT135" s="3" t="s">
        <v>154</v>
      </c>
      <c r="AU135" s="3" t="s">
        <v>154</v>
      </c>
      <c r="AV135" s="3" t="s">
        <v>154</v>
      </c>
    </row>
    <row r="136" spans="1:48" ht="15" customHeight="1" x14ac:dyDescent="0.25">
      <c r="B136" s="51" t="s">
        <v>158</v>
      </c>
      <c r="C136" s="52">
        <f t="shared" ref="C136" si="203">+SUM(C131:C135)</f>
        <v>1404.9410000000003</v>
      </c>
      <c r="D136" s="52">
        <f t="shared" ref="D136" si="204">+SUM(D131:D135)</f>
        <v>1323.4720000000002</v>
      </c>
      <c r="E136" s="52">
        <f t="shared" ref="E136" si="205">+SUM(E131:E135)</f>
        <v>1382.547</v>
      </c>
      <c r="F136" s="52">
        <f t="shared" ref="F136" si="206">+SUM(F131:F135)</f>
        <v>2198.6190000000001</v>
      </c>
      <c r="G136" s="52">
        <f t="shared" ref="G136" si="207">+SUM(G131:G135)</f>
        <v>1412.627</v>
      </c>
      <c r="H136" s="52">
        <f t="shared" ref="H136" si="208">+SUM(H131:H135)</f>
        <v>1424.998</v>
      </c>
      <c r="I136" s="52">
        <f t="shared" ref="I136" si="209">+SUM(I131:I135)</f>
        <v>1544.835</v>
      </c>
      <c r="J136" s="52">
        <f t="shared" ref="J136" si="210">+SUM(J131:J135)</f>
        <v>1557.184</v>
      </c>
      <c r="K136" s="52">
        <f t="shared" ref="K136" si="211">+SUM(K131:K135)</f>
        <v>1563.184</v>
      </c>
      <c r="L136" s="52">
        <f t="shared" ref="L136" si="212">+SUM(L131:L135)</f>
        <v>1663.7249999999999</v>
      </c>
      <c r="M136" s="52">
        <f t="shared" ref="M136" si="213">+SUM(M131:M135)</f>
        <v>1728.473</v>
      </c>
      <c r="N136" s="52">
        <f t="shared" ref="N136" si="214">+SUM(N131:N135)</f>
        <v>1744.857</v>
      </c>
      <c r="O136" s="52">
        <f t="shared" ref="O136" si="215">+SUM(O131:O135)</f>
        <v>1823.4469999999999</v>
      </c>
      <c r="P136" s="52">
        <f t="shared" ref="P136" si="216">+SUM(P131:P135)</f>
        <v>1856.92</v>
      </c>
      <c r="Q136" s="52">
        <f t="shared" ref="Q136" si="217">+SUM(Q131:Q135)</f>
        <v>1963.44</v>
      </c>
      <c r="R136" s="52">
        <f t="shared" ref="R136" si="218">+SUM(R131:R135)</f>
        <v>1925.9690000000001</v>
      </c>
      <c r="S136" s="52">
        <f t="shared" ref="S136" si="219">+SUM(S131:S135)</f>
        <v>1966.5730000000001</v>
      </c>
      <c r="T136" s="52">
        <f t="shared" ref="T136" si="220">+SUM(T131:T135)</f>
        <v>2081.48</v>
      </c>
      <c r="U136" s="52">
        <f t="shared" ref="U136" si="221">+SUM(U131:U135)</f>
        <v>2223.8980000000001</v>
      </c>
      <c r="V136" s="52">
        <f t="shared" ref="V136" si="222">+SUM(V131:V135)</f>
        <v>1952.002</v>
      </c>
      <c r="W136" s="52">
        <f t="shared" ref="W136" si="223">+SUM(W131:W135)</f>
        <v>1964.1059999999998</v>
      </c>
      <c r="X136" s="52">
        <f t="shared" ref="X136" si="224">+SUM(X131:X135)</f>
        <v>1890.154</v>
      </c>
      <c r="Y136" s="52">
        <f t="shared" ref="Y136" si="225">+SUM(Y131:Y135)</f>
        <v>2048.7420000000002</v>
      </c>
      <c r="Z136" s="52">
        <f t="shared" ref="Z136" si="226">+SUM(Z131:Z135)</f>
        <v>2064.2830000000004</v>
      </c>
      <c r="AA136" s="52">
        <f t="shared" ref="AA136" si="227">+SUM(AA131:AA135)</f>
        <v>2158.9790000000003</v>
      </c>
      <c r="AB136" s="52">
        <f t="shared" ref="AB136" si="228">+SUM(AB131:AB135)</f>
        <v>1959.165</v>
      </c>
      <c r="AC136" s="52">
        <f t="shared" ref="AC136" si="229">+SUM(AC131:AC135)</f>
        <v>2035.1599999999999</v>
      </c>
      <c r="AD136" s="52">
        <f t="shared" ref="AD136" si="230">+SUM(AD131:AD135)</f>
        <v>2024.6509999999998</v>
      </c>
      <c r="AE136" s="52">
        <f t="shared" ref="AE136" si="231">+SUM(AE131:AE135)</f>
        <v>2081.0729999999999</v>
      </c>
      <c r="AF136" s="52">
        <f t="shared" ref="AF136" si="232">+SUM(AF131:AF135)</f>
        <v>2057.3580000000002</v>
      </c>
      <c r="AG136" s="52">
        <f t="shared" ref="AG136" si="233">+SUM(AG131:AG135)</f>
        <v>2139.2129999999997</v>
      </c>
      <c r="AH136" s="52">
        <f t="shared" ref="AH136" si="234">+SUM(AH131:AH135)</f>
        <v>2202.6080000000002</v>
      </c>
      <c r="AI136" s="52">
        <f t="shared" ref="AI136" si="235">+SUM(AI131:AI135)</f>
        <v>2192.1669999999999</v>
      </c>
      <c r="AJ136" s="52">
        <f t="shared" ref="AJ136" si="236">+SUM(AJ131:AJ135)</f>
        <v>2349.681</v>
      </c>
      <c r="AK136" s="52">
        <f t="shared" ref="AK136" si="237">+SUM(AK131:AK135)</f>
        <v>2385.8890000000001</v>
      </c>
      <c r="AL136" s="52">
        <f t="shared" ref="AL136" si="238">+SUM(AL131:AL135)</f>
        <v>2570.8490000000002</v>
      </c>
      <c r="AM136" s="52">
        <f t="shared" ref="AM136:AO136" si="239">+SUM(AM131:AM135)</f>
        <v>2692.4470000000001</v>
      </c>
      <c r="AN136" s="52">
        <f t="shared" si="239"/>
        <v>2975.7170000000001</v>
      </c>
      <c r="AO136" s="52">
        <f t="shared" si="239"/>
        <v>3008.806</v>
      </c>
      <c r="AP136" s="52">
        <v>3386.6559999999999</v>
      </c>
      <c r="AQ136" s="52">
        <v>4165.07</v>
      </c>
      <c r="AR136" s="52">
        <v>4367.5870000000004</v>
      </c>
      <c r="AS136" s="52">
        <v>4815.8990000000003</v>
      </c>
      <c r="AT136" s="52">
        <v>5125.3130000000001</v>
      </c>
      <c r="AU136" s="52">
        <v>5345.7089999999998</v>
      </c>
      <c r="AV136" s="52">
        <v>5428.68</v>
      </c>
    </row>
    <row r="137" spans="1:48" ht="15" customHeight="1" x14ac:dyDescent="0.25">
      <c r="B137" s="27" t="s">
        <v>58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5">
      <c r="B138" s="27" t="s">
        <v>74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5">
      <c r="B139" s="27" t="s">
        <v>75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154</v>
      </c>
      <c r="U139" s="3" t="s">
        <v>154</v>
      </c>
      <c r="V139" s="3" t="s">
        <v>154</v>
      </c>
      <c r="W139" s="3" t="s">
        <v>154</v>
      </c>
      <c r="X139" s="3" t="s">
        <v>154</v>
      </c>
      <c r="Y139" s="3" t="s">
        <v>154</v>
      </c>
      <c r="Z139" s="3" t="s">
        <v>154</v>
      </c>
      <c r="AA139" s="3" t="s">
        <v>154</v>
      </c>
      <c r="AB139" s="3" t="s">
        <v>154</v>
      </c>
      <c r="AC139" s="3" t="s">
        <v>154</v>
      </c>
      <c r="AD139" s="3" t="s">
        <v>154</v>
      </c>
      <c r="AE139" s="3" t="s">
        <v>154</v>
      </c>
      <c r="AF139" s="3" t="s">
        <v>154</v>
      </c>
      <c r="AG139" s="3" t="s">
        <v>154</v>
      </c>
      <c r="AH139" s="3" t="s">
        <v>154</v>
      </c>
      <c r="AI139" s="3" t="s">
        <v>154</v>
      </c>
      <c r="AJ139" s="3" t="s">
        <v>154</v>
      </c>
      <c r="AK139" s="3" t="s">
        <v>154</v>
      </c>
      <c r="AL139" s="3" t="s">
        <v>154</v>
      </c>
      <c r="AM139" s="3" t="s">
        <v>154</v>
      </c>
      <c r="AN139" s="3" t="s">
        <v>154</v>
      </c>
      <c r="AO139" s="3" t="s">
        <v>154</v>
      </c>
      <c r="AP139" s="3" t="s">
        <v>154</v>
      </c>
      <c r="AQ139" s="3" t="s">
        <v>154</v>
      </c>
      <c r="AR139" s="3" t="s">
        <v>154</v>
      </c>
      <c r="AS139" s="3" t="s">
        <v>154</v>
      </c>
      <c r="AT139" s="3" t="s">
        <v>154</v>
      </c>
      <c r="AU139" s="3" t="s">
        <v>154</v>
      </c>
      <c r="AV139" s="94"/>
    </row>
    <row r="140" spans="1:48" ht="15" customHeight="1" x14ac:dyDescent="0.25">
      <c r="B140" s="27" t="s">
        <v>76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5">
      <c r="A141" s="65" t="s">
        <v>165</v>
      </c>
      <c r="B141" s="51" t="s">
        <v>159</v>
      </c>
      <c r="C141" s="52">
        <f t="shared" ref="C141" si="240">+SUM(C137:C140)</f>
        <v>16.114000000000001</v>
      </c>
      <c r="D141" s="52">
        <f t="shared" ref="D141" si="241">+SUM(D137:D140)</f>
        <v>19.251000000000001</v>
      </c>
      <c r="E141" s="52">
        <f t="shared" ref="E141" si="242">+SUM(E137:E140)</f>
        <v>20.942</v>
      </c>
      <c r="F141" s="52">
        <f t="shared" ref="F141" si="243">+SUM(F137:F140)</f>
        <v>19.251999999999999</v>
      </c>
      <c r="G141" s="52">
        <f t="shared" ref="G141" si="244">+SUM(G137:G140)</f>
        <v>18.676999999999996</v>
      </c>
      <c r="H141" s="52">
        <f t="shared" ref="H141:I141" si="245">+SUM(H137:H140)</f>
        <v>18.91</v>
      </c>
      <c r="I141" s="52">
        <f t="shared" si="245"/>
        <v>19.051000000000002</v>
      </c>
      <c r="J141" s="52">
        <f t="shared" ref="J141:L141" si="246">+SUM(J137:J140)</f>
        <v>19.448</v>
      </c>
      <c r="K141" s="52">
        <f t="shared" si="246"/>
        <v>18.25</v>
      </c>
      <c r="L141" s="52">
        <f t="shared" si="246"/>
        <v>18.954000000000001</v>
      </c>
      <c r="M141" s="52">
        <f t="shared" ref="M141" si="247">+SUM(M137:M140)</f>
        <v>18.64</v>
      </c>
      <c r="N141" s="52">
        <f t="shared" ref="N141" si="248">+SUM(N137:N140)</f>
        <v>19.588999999999999</v>
      </c>
      <c r="O141" s="52">
        <f t="shared" ref="O141:P141" si="249">+SUM(O137:O140)</f>
        <v>21.604999999999997</v>
      </c>
      <c r="P141" s="52">
        <f t="shared" si="249"/>
        <v>30.686000000000003</v>
      </c>
      <c r="Q141" s="52">
        <f t="shared" ref="Q141:T141" si="250">+SUM(Q137:Q140)</f>
        <v>28.838000000000005</v>
      </c>
      <c r="R141" s="52">
        <f t="shared" si="250"/>
        <v>30.431000000000001</v>
      </c>
      <c r="S141" s="52">
        <f t="shared" si="250"/>
        <v>28.907</v>
      </c>
      <c r="T141" s="52">
        <f t="shared" si="250"/>
        <v>29.785</v>
      </c>
      <c r="U141" s="52">
        <f t="shared" ref="U141:X141" si="251">+SUM(U137:U140)</f>
        <v>26.590000000000003</v>
      </c>
      <c r="V141" s="52">
        <f t="shared" si="251"/>
        <v>28.666999999999998</v>
      </c>
      <c r="W141" s="52">
        <f t="shared" si="251"/>
        <v>30.430000000000003</v>
      </c>
      <c r="X141" s="52">
        <f t="shared" si="251"/>
        <v>32.042999999999999</v>
      </c>
      <c r="Y141" s="52">
        <f t="shared" ref="Y141:AB141" si="252">+SUM(Y137:Y140)</f>
        <v>32.943000000000005</v>
      </c>
      <c r="Z141" s="52">
        <f t="shared" si="252"/>
        <v>31.885999999999999</v>
      </c>
      <c r="AA141" s="52">
        <f t="shared" si="252"/>
        <v>34.175000000000004</v>
      </c>
      <c r="AB141" s="52">
        <f t="shared" si="252"/>
        <v>36.899000000000001</v>
      </c>
      <c r="AC141" s="52">
        <f t="shared" ref="AC141:AQ141" si="253">+SUM(AC137:AC140)</f>
        <v>32.203999999999994</v>
      </c>
      <c r="AD141" s="52">
        <f t="shared" si="253"/>
        <v>34.463999999999999</v>
      </c>
      <c r="AE141" s="52">
        <f t="shared" si="253"/>
        <v>39.007000000000005</v>
      </c>
      <c r="AF141" s="52">
        <f t="shared" si="253"/>
        <v>27.777000000000001</v>
      </c>
      <c r="AG141" s="52">
        <f t="shared" si="253"/>
        <v>28.984999999999999</v>
      </c>
      <c r="AH141" s="52">
        <f t="shared" si="253"/>
        <v>24.945999999999998</v>
      </c>
      <c r="AI141" s="52">
        <f t="shared" si="253"/>
        <v>26.146000000000001</v>
      </c>
      <c r="AJ141" s="52">
        <f t="shared" si="253"/>
        <v>29.87</v>
      </c>
      <c r="AK141" s="52">
        <f t="shared" si="253"/>
        <v>30.657</v>
      </c>
      <c r="AL141" s="52">
        <f t="shared" si="253"/>
        <v>30.407</v>
      </c>
      <c r="AM141" s="52">
        <f t="shared" si="253"/>
        <v>30.972000000000005</v>
      </c>
      <c r="AN141" s="52">
        <f t="shared" si="253"/>
        <v>32.597000000000001</v>
      </c>
      <c r="AO141" s="52">
        <f t="shared" si="253"/>
        <v>42.131999999999998</v>
      </c>
      <c r="AP141" s="52">
        <f t="shared" si="253"/>
        <v>47.395999999999994</v>
      </c>
      <c r="AQ141" s="52">
        <f t="shared" si="253"/>
        <v>58.472000000000001</v>
      </c>
      <c r="AR141" s="52">
        <v>56.808</v>
      </c>
      <c r="AS141" s="52">
        <v>58.322000000000003</v>
      </c>
      <c r="AT141" s="52">
        <v>45.713000000000001</v>
      </c>
      <c r="AU141" s="52">
        <v>45.491999999999997</v>
      </c>
      <c r="AV141" s="52">
        <v>68.19</v>
      </c>
    </row>
    <row r="144" spans="1:48" ht="20.100000000000001" customHeight="1" x14ac:dyDescent="0.25">
      <c r="B144" s="36" t="s">
        <v>124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</row>
    <row r="145" spans="1:48" x14ac:dyDescent="0.25">
      <c r="B145" s="38" t="s">
        <v>65</v>
      </c>
      <c r="C145" s="39" t="s">
        <v>99</v>
      </c>
      <c r="D145" s="39">
        <v>2008</v>
      </c>
      <c r="E145" s="39" t="s">
        <v>100</v>
      </c>
      <c r="F145" s="39" t="s">
        <v>101</v>
      </c>
      <c r="G145" s="39" t="s">
        <v>102</v>
      </c>
      <c r="H145" s="39">
        <v>2009</v>
      </c>
      <c r="I145" s="39" t="s">
        <v>103</v>
      </c>
      <c r="J145" s="39" t="s">
        <v>104</v>
      </c>
      <c r="K145" s="39" t="s">
        <v>105</v>
      </c>
      <c r="L145" s="39">
        <v>2010</v>
      </c>
      <c r="M145" s="39" t="s">
        <v>106</v>
      </c>
      <c r="N145" s="39" t="s">
        <v>107</v>
      </c>
      <c r="O145" s="39" t="s">
        <v>108</v>
      </c>
      <c r="P145" s="39">
        <v>2011</v>
      </c>
      <c r="Q145" s="39" t="s">
        <v>96</v>
      </c>
      <c r="R145" s="39" t="s">
        <v>97</v>
      </c>
      <c r="S145" s="39" t="s">
        <v>98</v>
      </c>
      <c r="T145" s="39">
        <v>2012</v>
      </c>
      <c r="U145" s="39" t="s">
        <v>93</v>
      </c>
      <c r="V145" s="39" t="s">
        <v>94</v>
      </c>
      <c r="W145" s="39" t="s">
        <v>95</v>
      </c>
      <c r="X145" s="39">
        <v>2013</v>
      </c>
      <c r="Y145" s="39" t="s">
        <v>90</v>
      </c>
      <c r="Z145" s="39" t="s">
        <v>91</v>
      </c>
      <c r="AA145" s="39" t="s">
        <v>92</v>
      </c>
      <c r="AB145" s="39">
        <v>2014</v>
      </c>
      <c r="AC145" s="39" t="s">
        <v>87</v>
      </c>
      <c r="AD145" s="39" t="s">
        <v>88</v>
      </c>
      <c r="AE145" s="39" t="s">
        <v>89</v>
      </c>
      <c r="AF145" s="39">
        <v>2015</v>
      </c>
      <c r="AG145" s="39" t="s">
        <v>84</v>
      </c>
      <c r="AH145" s="39" t="s">
        <v>85</v>
      </c>
      <c r="AI145" s="39" t="s">
        <v>86</v>
      </c>
      <c r="AJ145" s="39">
        <v>2016</v>
      </c>
      <c r="AK145" s="39" t="s">
        <v>83</v>
      </c>
      <c r="AL145" s="39" t="s">
        <v>82</v>
      </c>
      <c r="AM145" s="39" t="s">
        <v>81</v>
      </c>
      <c r="AN145" s="39">
        <v>2017</v>
      </c>
      <c r="AO145" s="39" t="s">
        <v>172</v>
      </c>
      <c r="AP145" s="39" t="s">
        <v>175</v>
      </c>
      <c r="AQ145" s="39" t="s">
        <v>177</v>
      </c>
      <c r="AR145" s="39">
        <v>2018</v>
      </c>
      <c r="AS145" s="39" t="s">
        <v>188</v>
      </c>
      <c r="AT145" s="39" t="s">
        <v>190</v>
      </c>
      <c r="AU145" s="39" t="s">
        <v>193</v>
      </c>
      <c r="AV145" s="39">
        <v>2019</v>
      </c>
    </row>
    <row r="146" spans="1:48" ht="15" customHeight="1" x14ac:dyDescent="0.25">
      <c r="B146" s="50" t="s">
        <v>125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3">
        <v>981.68899999999996</v>
      </c>
      <c r="AR146" s="3">
        <v>1401.527</v>
      </c>
      <c r="AS146" s="3">
        <v>780.90499999999997</v>
      </c>
      <c r="AT146" s="3">
        <v>1179.3610000000001</v>
      </c>
      <c r="AU146" s="3">
        <v>1436.3489999999999</v>
      </c>
      <c r="AV146" s="3">
        <v>1414.8589999999999</v>
      </c>
    </row>
    <row r="147" spans="1:48" ht="15" customHeight="1" x14ac:dyDescent="0.25">
      <c r="B147" s="27" t="s">
        <v>126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3">
        <v>330.48399999999998</v>
      </c>
      <c r="AR147" s="3">
        <v>449.76299999999998</v>
      </c>
      <c r="AS147" s="3">
        <v>203.56899999999999</v>
      </c>
      <c r="AT147" s="3">
        <v>400.375</v>
      </c>
      <c r="AU147" s="3">
        <v>600.23</v>
      </c>
      <c r="AV147" s="3">
        <v>772.61900000000003</v>
      </c>
    </row>
    <row r="148" spans="1:48" ht="15" customHeight="1" x14ac:dyDescent="0.25">
      <c r="B148" s="27" t="s">
        <v>127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3">
        <v>912.95600000000002</v>
      </c>
      <c r="AR148" s="3">
        <v>576.19100000000003</v>
      </c>
      <c r="AS148" s="3">
        <v>-564.49</v>
      </c>
      <c r="AT148" s="3">
        <v>-685.13800000000003</v>
      </c>
      <c r="AU148" s="3">
        <v>-1155.952</v>
      </c>
      <c r="AV148" s="3">
        <v>-1059.8340000000001</v>
      </c>
    </row>
    <row r="149" spans="1:48" ht="15" customHeight="1" x14ac:dyDescent="0.25">
      <c r="B149" s="6" t="s">
        <v>129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5">
      <c r="B150" s="27" t="s">
        <v>130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3">
        <f>-177.689+ 3.518</f>
        <v>-174.17099999999999</v>
      </c>
      <c r="AR150" s="3">
        <f>-261.165+4.888</f>
        <v>-256.27700000000004</v>
      </c>
      <c r="AS150" s="3">
        <f>-58.59+1.488</f>
        <v>-57.102000000000004</v>
      </c>
      <c r="AT150" s="3">
        <f>-114.506+4.783</f>
        <v>-109.723</v>
      </c>
      <c r="AU150" s="3">
        <f>-162.205+5.547</f>
        <v>-156.65800000000002</v>
      </c>
      <c r="AV150" s="3">
        <f>-(285.51)+49.462</f>
        <v>-236.048</v>
      </c>
    </row>
    <row r="151" spans="1:48" ht="15" customHeight="1" x14ac:dyDescent="0.25">
      <c r="B151" s="27" t="s">
        <v>131</v>
      </c>
      <c r="C151" s="48">
        <v>-1.704</v>
      </c>
      <c r="D151" s="48">
        <v>2.8650000000000002</v>
      </c>
      <c r="E151" s="48">
        <v>-35.869999999999997</v>
      </c>
      <c r="F151" s="48">
        <v>-33.741999999999997</v>
      </c>
      <c r="G151" s="48">
        <v>-38.725000000000001</v>
      </c>
      <c r="H151" s="48">
        <v>-33.396000000000001</v>
      </c>
      <c r="I151" s="48">
        <v>-1.544</v>
      </c>
      <c r="J151" s="48">
        <v>2.6360000000000001</v>
      </c>
      <c r="K151" s="48">
        <v>2.617</v>
      </c>
      <c r="L151" s="48">
        <v>3.6960000000000002</v>
      </c>
      <c r="M151" s="48">
        <v>0.223</v>
      </c>
      <c r="N151" s="48">
        <v>-43.100999999999999</v>
      </c>
      <c r="O151" s="48">
        <v>-42.978999999999999</v>
      </c>
      <c r="P151" s="48">
        <v>-42.975000000000001</v>
      </c>
      <c r="Q151" s="48">
        <v>-2.3119999999999998</v>
      </c>
      <c r="R151" s="48">
        <v>1.919</v>
      </c>
      <c r="S151" s="48">
        <v>2.0169999999999999</v>
      </c>
      <c r="T151" s="48">
        <v>329.995</v>
      </c>
      <c r="U151" s="48">
        <v>-26.512</v>
      </c>
      <c r="V151" s="48">
        <v>-15.409000000000001</v>
      </c>
      <c r="W151" s="48">
        <v>-33.633000000000003</v>
      </c>
      <c r="X151" s="48">
        <v>-28.492999999999999</v>
      </c>
      <c r="Y151" s="48">
        <v>21.597999999999999</v>
      </c>
      <c r="Z151" s="48">
        <v>45.375999999999998</v>
      </c>
      <c r="AA151" s="48">
        <v>36.170999999999999</v>
      </c>
      <c r="AB151" s="48">
        <v>75.912000000000006</v>
      </c>
      <c r="AC151" s="48">
        <v>7.258</v>
      </c>
      <c r="AD151" s="48">
        <v>15.38</v>
      </c>
      <c r="AE151" s="48">
        <v>18.773</v>
      </c>
      <c r="AF151" s="48">
        <v>20.225000000000001</v>
      </c>
      <c r="AG151" s="48">
        <v>9.7010000000000005</v>
      </c>
      <c r="AH151" s="48">
        <v>-26.376000000000001</v>
      </c>
      <c r="AI151" s="48">
        <v>20.206</v>
      </c>
      <c r="AJ151" s="48">
        <v>-12.662000000000001</v>
      </c>
      <c r="AK151" s="48">
        <v>-7.37</v>
      </c>
      <c r="AL151" s="48">
        <v>-16.071999999999999</v>
      </c>
      <c r="AM151" s="48">
        <v>59.192999999999998</v>
      </c>
      <c r="AN151" s="48">
        <v>114.39400000000001</v>
      </c>
      <c r="AO151" s="48">
        <v>-54.43</v>
      </c>
      <c r="AP151" s="48">
        <v>7.87</v>
      </c>
      <c r="AQ151" s="85">
        <v>-114.83600000000001</v>
      </c>
      <c r="AR151" s="85">
        <v>-65.687999000000005</v>
      </c>
      <c r="AS151" s="85">
        <v>-12.179000000000002</v>
      </c>
      <c r="AT151" s="85">
        <v>-116.337</v>
      </c>
      <c r="AU151" s="85">
        <v>-112.77799999999996</v>
      </c>
      <c r="AV151" s="85">
        <v>-157.03300000000002</v>
      </c>
    </row>
    <row r="152" spans="1:48" ht="15" customHeight="1" x14ac:dyDescent="0.25">
      <c r="B152" s="6" t="s">
        <v>128</v>
      </c>
      <c r="C152" s="53">
        <v>-65.256</v>
      </c>
      <c r="D152" s="53">
        <v>-37.877000000000002</v>
      </c>
      <c r="E152" s="53">
        <v>-40.003999999999998</v>
      </c>
      <c r="F152" s="53">
        <v>-42.542000000000002</v>
      </c>
      <c r="G152" s="53">
        <v>-64.647000000000006</v>
      </c>
      <c r="H152" s="53">
        <v>-73.635999999999996</v>
      </c>
      <c r="I152" s="53">
        <v>-20.741</v>
      </c>
      <c r="J152" s="53">
        <v>-25.114000000000001</v>
      </c>
      <c r="K152" s="53">
        <v>-26.794</v>
      </c>
      <c r="L152" s="53">
        <v>-32.911000000000001</v>
      </c>
      <c r="M152" s="53">
        <v>-5.7450000000000001</v>
      </c>
      <c r="N152" s="53">
        <v>-59.369</v>
      </c>
      <c r="O152" s="53">
        <v>-90.811999999999998</v>
      </c>
      <c r="P152" s="53">
        <v>-107.553</v>
      </c>
      <c r="Q152" s="53">
        <v>-29.687999999999999</v>
      </c>
      <c r="R152" s="53">
        <v>-49.101999999999997</v>
      </c>
      <c r="S152" s="53">
        <v>-66.004000000000005</v>
      </c>
      <c r="T152" s="53">
        <v>238.93799999999999</v>
      </c>
      <c r="U152" s="53">
        <v>-37.826000000000001</v>
      </c>
      <c r="V152" s="53">
        <v>-63.084000000000003</v>
      </c>
      <c r="W152" s="53">
        <v>-118.13800000000001</v>
      </c>
      <c r="X152" s="53">
        <v>-185.495</v>
      </c>
      <c r="Y152" s="53">
        <v>-63.482999999999997</v>
      </c>
      <c r="Z152" s="53">
        <v>-170.517</v>
      </c>
      <c r="AA152" s="53">
        <v>-267.35399999999998</v>
      </c>
      <c r="AB152" s="53">
        <v>-305.96199999999999</v>
      </c>
      <c r="AC152" s="53">
        <v>-62.347999999999999</v>
      </c>
      <c r="AD152" s="53">
        <v>-108.15300000000001</v>
      </c>
      <c r="AE152" s="53">
        <v>-168.68199999999999</v>
      </c>
      <c r="AF152" s="53">
        <v>-200.87899999999999</v>
      </c>
      <c r="AG152" s="53">
        <v>-25.798999999999999</v>
      </c>
      <c r="AH152" s="53">
        <v>-103.57599999999999</v>
      </c>
      <c r="AI152" s="53">
        <v>-75.316999999999993</v>
      </c>
      <c r="AJ152" s="53">
        <v>-163.65100000000001</v>
      </c>
      <c r="AK152" s="53">
        <v>-26.504999999999999</v>
      </c>
      <c r="AL152" s="53">
        <v>-91.558999999999997</v>
      </c>
      <c r="AM152" s="53">
        <v>-41.398000000000003</v>
      </c>
      <c r="AN152" s="53">
        <v>-84.891999999999996</v>
      </c>
      <c r="AO152" s="53">
        <v>-91.227000000000004</v>
      </c>
      <c r="AP152" s="53">
        <v>-68.257999999999996</v>
      </c>
      <c r="AQ152" s="53">
        <v>-289.00700000000001</v>
      </c>
      <c r="AR152" s="53">
        <v>-321.96499999999997</v>
      </c>
      <c r="AS152" s="53">
        <v>-69.281000000000006</v>
      </c>
      <c r="AT152" s="53">
        <v>-226.06</v>
      </c>
      <c r="AU152" s="53">
        <v>-269.43599999999998</v>
      </c>
      <c r="AV152" s="53">
        <v>-393.08100000000002</v>
      </c>
    </row>
    <row r="153" spans="1:48" ht="15" customHeight="1" x14ac:dyDescent="0.25">
      <c r="B153" s="27" t="s">
        <v>148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3">
        <f>-890.619+529.863</f>
        <v>-360.75599999999997</v>
      </c>
      <c r="AR153" s="3">
        <f>-1101.514+698.987</f>
        <v>-402.52699999999993</v>
      </c>
      <c r="AS153" s="3">
        <f>144.453-(513.131)</f>
        <v>-368.678</v>
      </c>
      <c r="AT153" s="3">
        <v>328.66</v>
      </c>
      <c r="AU153" s="3">
        <f>386.034-(928.728)</f>
        <v>-542.69399999999996</v>
      </c>
      <c r="AV153" s="3">
        <f>-1307.551+865.11</f>
        <v>-442.44099999999992</v>
      </c>
    </row>
    <row r="154" spans="1:48" ht="15" customHeight="1" x14ac:dyDescent="0.25">
      <c r="B154" s="27" t="s">
        <v>138</v>
      </c>
      <c r="C154" s="48">
        <v>-19.734000000000002</v>
      </c>
      <c r="D154" s="48">
        <v>-19.734000000000002</v>
      </c>
      <c r="E154" s="48">
        <v>0</v>
      </c>
      <c r="F154" s="48">
        <v>-1.6579999999999999</v>
      </c>
      <c r="G154" s="48">
        <v>-1.6579999999999999</v>
      </c>
      <c r="H154" s="48">
        <v>-1.6579999999999999</v>
      </c>
      <c r="I154" s="48">
        <v>0</v>
      </c>
      <c r="J154" s="48">
        <v>-19.309999999999999</v>
      </c>
      <c r="K154" s="48">
        <v>-19.309999999999999</v>
      </c>
      <c r="L154" s="48">
        <v>-19.309999999999999</v>
      </c>
      <c r="M154" s="48">
        <v>0</v>
      </c>
      <c r="N154" s="48">
        <v>-56.607999999999997</v>
      </c>
      <c r="O154" s="48">
        <v>-56.607999999999997</v>
      </c>
      <c r="P154" s="48">
        <v>-56.607999999999997</v>
      </c>
      <c r="Q154" s="48">
        <v>0</v>
      </c>
      <c r="R154" s="48">
        <v>0</v>
      </c>
      <c r="S154" s="48">
        <v>-75.046999999999997</v>
      </c>
      <c r="T154" s="48">
        <v>-75.046999999999997</v>
      </c>
      <c r="U154" s="48">
        <v>0</v>
      </c>
      <c r="V154" s="48">
        <v>-138.27500000000001</v>
      </c>
      <c r="W154" s="48">
        <v>-138.27500000000001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-41.048999999999999</v>
      </c>
      <c r="AE154" s="48">
        <v>-41.048999999999999</v>
      </c>
      <c r="AF154" s="48">
        <v>-41.048999999999999</v>
      </c>
      <c r="AG154" s="48">
        <v>0</v>
      </c>
      <c r="AH154" s="48">
        <v>-63.665999999999997</v>
      </c>
      <c r="AI154" s="48">
        <v>-63.665999999999997</v>
      </c>
      <c r="AJ154" s="48">
        <v>-63.665999999999997</v>
      </c>
      <c r="AK154" s="48">
        <v>-120.292</v>
      </c>
      <c r="AL154" s="48">
        <v>-120.292</v>
      </c>
      <c r="AM154" s="48">
        <v>-120.292</v>
      </c>
      <c r="AN154" s="48">
        <v>-120.292</v>
      </c>
      <c r="AO154" s="48" t="s">
        <v>154</v>
      </c>
      <c r="AP154" s="48">
        <v>-248.69300000000001</v>
      </c>
      <c r="AQ154" s="85">
        <v>-248.69300000000001</v>
      </c>
      <c r="AR154" s="85">
        <v>-248.69300000000001</v>
      </c>
      <c r="AS154" s="85" t="s">
        <v>154</v>
      </c>
      <c r="AT154" s="3">
        <v>-450.97199999999998</v>
      </c>
      <c r="AU154" s="3">
        <v>-450.97199999999998</v>
      </c>
      <c r="AV154" s="3">
        <v>-450.97199999999998</v>
      </c>
    </row>
    <row r="155" spans="1:48" ht="15" customHeight="1" x14ac:dyDescent="0.25">
      <c r="B155" s="6" t="s">
        <v>132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5">
      <c r="A156" s="65" t="s">
        <v>165</v>
      </c>
      <c r="B156" s="51" t="s">
        <v>133</v>
      </c>
      <c r="C156" s="52">
        <v>-85.016999999999996</v>
      </c>
      <c r="D156" s="52">
        <v>-103.375</v>
      </c>
      <c r="E156" s="52">
        <v>-49.957000000000001</v>
      </c>
      <c r="F156" s="52">
        <v>22.172999999999998</v>
      </c>
      <c r="G156" s="52">
        <v>41.250999999999998</v>
      </c>
      <c r="H156" s="52">
        <v>52.94</v>
      </c>
      <c r="I156" s="52">
        <v>87.917000000000002</v>
      </c>
      <c r="J156" s="52">
        <v>60.058</v>
      </c>
      <c r="K156" s="52">
        <v>2.68</v>
      </c>
      <c r="L156" s="52">
        <v>195.79400000000001</v>
      </c>
      <c r="M156" s="52">
        <v>85.003</v>
      </c>
      <c r="N156" s="52">
        <v>1.4159999999999999</v>
      </c>
      <c r="O156" s="52">
        <v>-59.002000000000002</v>
      </c>
      <c r="P156" s="52">
        <v>26.204999999999998</v>
      </c>
      <c r="Q156" s="52">
        <v>57.430999999999997</v>
      </c>
      <c r="R156" s="52">
        <v>65.061999999999998</v>
      </c>
      <c r="S156" s="52">
        <v>-97.438000000000002</v>
      </c>
      <c r="T156" s="52">
        <v>294.56299999999999</v>
      </c>
      <c r="U156" s="52">
        <v>122.544</v>
      </c>
      <c r="V156" s="52">
        <v>-109.919</v>
      </c>
      <c r="W156" s="52">
        <v>-208.01</v>
      </c>
      <c r="X156" s="52">
        <v>-8.6080000000000005</v>
      </c>
      <c r="Y156" s="52">
        <v>274.40800000000002</v>
      </c>
      <c r="Z156" s="52">
        <v>54.465000000000003</v>
      </c>
      <c r="AA156" s="52">
        <v>-113.087</v>
      </c>
      <c r="AB156" s="52">
        <v>-7.7039999999999997</v>
      </c>
      <c r="AC156" s="52">
        <v>198.57599999999999</v>
      </c>
      <c r="AD156" s="52">
        <v>149.57400000000001</v>
      </c>
      <c r="AE156" s="52">
        <v>107.688</v>
      </c>
      <c r="AF156" s="52">
        <v>-15.247</v>
      </c>
      <c r="AG156" s="52">
        <v>195.7</v>
      </c>
      <c r="AH156" s="52">
        <v>202.85300000000001</v>
      </c>
      <c r="AI156" s="52">
        <v>149.70400000000001</v>
      </c>
      <c r="AJ156" s="52">
        <v>451.22699999999998</v>
      </c>
      <c r="AK156" s="52">
        <v>1617.8420000000001</v>
      </c>
      <c r="AL156" s="52">
        <v>1467.297</v>
      </c>
      <c r="AM156" s="52">
        <v>1347.2170000000001</v>
      </c>
      <c r="AN156" s="52">
        <v>1502.404</v>
      </c>
      <c r="AO156" s="52">
        <v>774.78399999999999</v>
      </c>
      <c r="AP156" s="52">
        <v>751.72199999999998</v>
      </c>
      <c r="AQ156" s="52">
        <v>1739.769</v>
      </c>
      <c r="AR156" s="52">
        <v>1595.7670000000001</v>
      </c>
      <c r="AS156" s="52">
        <v>-61.174999999999997</v>
      </c>
      <c r="AT156" s="52">
        <v>-289.35000000000002</v>
      </c>
      <c r="AU156" s="52">
        <v>-604.57399999999996</v>
      </c>
      <c r="AV156" s="52">
        <v>-486.97500000000002</v>
      </c>
    </row>
    <row r="159" spans="1:48" ht="20.100000000000001" customHeight="1" x14ac:dyDescent="0.25">
      <c r="B159" s="36" t="s">
        <v>161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</row>
    <row r="160" spans="1:48" x14ac:dyDescent="0.25">
      <c r="B160" s="38" t="s">
        <v>65</v>
      </c>
      <c r="C160" s="39" t="s">
        <v>99</v>
      </c>
      <c r="D160" s="39">
        <v>2008</v>
      </c>
      <c r="E160" s="39" t="s">
        <v>100</v>
      </c>
      <c r="F160" s="39" t="s">
        <v>101</v>
      </c>
      <c r="G160" s="39" t="s">
        <v>102</v>
      </c>
      <c r="H160" s="39">
        <v>2009</v>
      </c>
      <c r="I160" s="39" t="s">
        <v>103</v>
      </c>
      <c r="J160" s="39" t="s">
        <v>104</v>
      </c>
      <c r="K160" s="39" t="s">
        <v>105</v>
      </c>
      <c r="L160" s="39">
        <v>2010</v>
      </c>
      <c r="M160" s="39" t="s">
        <v>106</v>
      </c>
      <c r="N160" s="39" t="s">
        <v>107</v>
      </c>
      <c r="O160" s="39" t="s">
        <v>108</v>
      </c>
      <c r="P160" s="39">
        <v>2011</v>
      </c>
      <c r="Q160" s="39" t="s">
        <v>96</v>
      </c>
      <c r="R160" s="39" t="s">
        <v>97</v>
      </c>
      <c r="S160" s="39" t="s">
        <v>98</v>
      </c>
      <c r="T160" s="39">
        <v>2012</v>
      </c>
      <c r="U160" s="39" t="s">
        <v>93</v>
      </c>
      <c r="V160" s="39" t="s">
        <v>94</v>
      </c>
      <c r="W160" s="39" t="s">
        <v>95</v>
      </c>
      <c r="X160" s="39">
        <v>2013</v>
      </c>
      <c r="Y160" s="39" t="s">
        <v>90</v>
      </c>
      <c r="Z160" s="39" t="s">
        <v>91</v>
      </c>
      <c r="AA160" s="39" t="s">
        <v>92</v>
      </c>
      <c r="AB160" s="39">
        <v>2014</v>
      </c>
      <c r="AC160" s="39" t="s">
        <v>87</v>
      </c>
      <c r="AD160" s="39" t="s">
        <v>88</v>
      </c>
      <c r="AE160" s="39" t="s">
        <v>89</v>
      </c>
      <c r="AF160" s="39">
        <v>2015</v>
      </c>
      <c r="AG160" s="39" t="s">
        <v>84</v>
      </c>
      <c r="AH160" s="39" t="s">
        <v>85</v>
      </c>
      <c r="AI160" s="39" t="s">
        <v>86</v>
      </c>
      <c r="AJ160" s="39">
        <v>2016</v>
      </c>
      <c r="AK160" s="39" t="s">
        <v>83</v>
      </c>
      <c r="AL160" s="39" t="s">
        <v>82</v>
      </c>
      <c r="AM160" s="39" t="s">
        <v>81</v>
      </c>
      <c r="AN160" s="39">
        <v>2017</v>
      </c>
      <c r="AO160" s="39" t="s">
        <v>172</v>
      </c>
      <c r="AP160" s="39" t="s">
        <v>175</v>
      </c>
      <c r="AQ160" s="39" t="s">
        <v>177</v>
      </c>
      <c r="AR160" s="39">
        <v>2018</v>
      </c>
      <c r="AS160" s="39" t="s">
        <v>188</v>
      </c>
      <c r="AT160" s="39" t="s">
        <v>190</v>
      </c>
      <c r="AU160" s="39" t="s">
        <v>193</v>
      </c>
      <c r="AV160" s="39">
        <v>2019</v>
      </c>
    </row>
    <row r="161" spans="1:48" ht="15" customHeight="1" x14ac:dyDescent="0.25">
      <c r="B161" s="27" t="s">
        <v>58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3">
        <v>132.25200000000001</v>
      </c>
      <c r="AR161" s="88">
        <v>186.54400000000001</v>
      </c>
      <c r="AS161" s="3">
        <v>32.511000000000003</v>
      </c>
      <c r="AT161" s="3">
        <v>51.883000000000003</v>
      </c>
      <c r="AU161" s="3">
        <v>64.004999999999995</v>
      </c>
      <c r="AV161" s="3">
        <v>107.72</v>
      </c>
    </row>
    <row r="162" spans="1:48" ht="15" customHeight="1" x14ac:dyDescent="0.25">
      <c r="B162" s="27" t="s">
        <v>74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3">
        <v>43.593000000000004</v>
      </c>
      <c r="AR162" s="88">
        <v>71.542000000000002</v>
      </c>
      <c r="AS162" s="3">
        <v>24.629000000000001</v>
      </c>
      <c r="AT162" s="3">
        <v>54.298999999999999</v>
      </c>
      <c r="AU162" s="3">
        <v>88.171000000000006</v>
      </c>
      <c r="AV162" s="3">
        <v>166.96700000000001</v>
      </c>
    </row>
    <row r="163" spans="1:48" ht="15" customHeight="1" x14ac:dyDescent="0.25">
      <c r="B163" s="27" t="s">
        <v>75</v>
      </c>
      <c r="C163" s="13">
        <v>8.8260000000000005</v>
      </c>
      <c r="D163" s="13">
        <v>15.773999999999999</v>
      </c>
      <c r="E163" s="76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3">
        <v>0.54</v>
      </c>
      <c r="AR163" s="88">
        <v>0.55100000000000005</v>
      </c>
      <c r="AS163" s="3">
        <v>4.4999999999999998E-2</v>
      </c>
      <c r="AT163" s="3">
        <v>4.8000000000000001E-2</v>
      </c>
      <c r="AU163" s="3">
        <v>5.2999999999999999E-2</v>
      </c>
      <c r="AV163" s="94"/>
    </row>
    <row r="164" spans="1:48" ht="15" customHeight="1" x14ac:dyDescent="0.25">
      <c r="B164" s="27" t="s">
        <v>76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3">
        <v>2.0110000000000001</v>
      </c>
      <c r="AR164" s="88">
        <v>3.875</v>
      </c>
      <c r="AS164" s="3">
        <v>1.405</v>
      </c>
      <c r="AT164" s="3">
        <v>9.3010000000000002</v>
      </c>
      <c r="AU164" s="3">
        <v>11.746</v>
      </c>
      <c r="AV164" s="3">
        <v>17.097000000000001</v>
      </c>
    </row>
    <row r="165" spans="1:48" ht="15" customHeight="1" x14ac:dyDescent="0.25">
      <c r="B165" s="51" t="s">
        <v>162</v>
      </c>
      <c r="C165" s="52">
        <f t="shared" ref="C165:AQ165" si="254">+SUM(C161:C164)</f>
        <v>83.804999999999993</v>
      </c>
      <c r="D165" s="52">
        <f t="shared" si="254"/>
        <v>133.38800000000001</v>
      </c>
      <c r="E165" s="52">
        <f t="shared" si="254"/>
        <v>7.8270000000000008</v>
      </c>
      <c r="F165" s="52">
        <f t="shared" si="254"/>
        <v>12.272</v>
      </c>
      <c r="G165" s="52">
        <f t="shared" si="254"/>
        <v>29.111000000000001</v>
      </c>
      <c r="H165" s="52">
        <f t="shared" si="254"/>
        <v>43.328000000000003</v>
      </c>
      <c r="I165" s="52">
        <f t="shared" si="254"/>
        <v>21.216999999999999</v>
      </c>
      <c r="J165" s="52">
        <f t="shared" si="254"/>
        <v>36.090000000000003</v>
      </c>
      <c r="K165" s="52">
        <f t="shared" si="254"/>
        <v>40.405999999999999</v>
      </c>
      <c r="L165" s="52">
        <f t="shared" si="254"/>
        <v>53.935000000000002</v>
      </c>
      <c r="M165" s="52">
        <f t="shared" si="254"/>
        <v>11.288</v>
      </c>
      <c r="N165" s="52">
        <f t="shared" si="254"/>
        <v>24.597999999999999</v>
      </c>
      <c r="O165" s="52">
        <f t="shared" si="254"/>
        <v>56.157999999999994</v>
      </c>
      <c r="P165" s="52">
        <f t="shared" si="254"/>
        <v>96.516999999999996</v>
      </c>
      <c r="Q165" s="52">
        <f t="shared" si="254"/>
        <v>47.463999999999999</v>
      </c>
      <c r="R165" s="52">
        <f t="shared" si="254"/>
        <v>112.494</v>
      </c>
      <c r="S165" s="52">
        <f t="shared" si="254"/>
        <v>145.35700000000003</v>
      </c>
      <c r="T165" s="52">
        <f t="shared" si="254"/>
        <v>193.334</v>
      </c>
      <c r="U165" s="52">
        <f t="shared" si="254"/>
        <v>12.667999999999999</v>
      </c>
      <c r="V165" s="52">
        <f t="shared" si="254"/>
        <v>53.994</v>
      </c>
      <c r="W165" s="52">
        <f t="shared" si="254"/>
        <v>97.510999999999996</v>
      </c>
      <c r="X165" s="52">
        <f t="shared" si="254"/>
        <v>184.126</v>
      </c>
      <c r="Y165" s="52">
        <f t="shared" si="254"/>
        <v>93.308999999999997</v>
      </c>
      <c r="Z165" s="52">
        <f t="shared" si="254"/>
        <v>225.81200000000001</v>
      </c>
      <c r="AA165" s="52">
        <f t="shared" si="254"/>
        <v>319.38200000000001</v>
      </c>
      <c r="AB165" s="52">
        <f t="shared" si="254"/>
        <v>401.46099999999996</v>
      </c>
      <c r="AC165" s="52">
        <f t="shared" si="254"/>
        <v>81.344999999999985</v>
      </c>
      <c r="AD165" s="52">
        <f t="shared" si="254"/>
        <v>155.86100000000005</v>
      </c>
      <c r="AE165" s="52">
        <f t="shared" si="254"/>
        <v>272.82299999999998</v>
      </c>
      <c r="AF165" s="52">
        <f t="shared" si="254"/>
        <v>296.08299999999997</v>
      </c>
      <c r="AG165" s="52">
        <f t="shared" si="254"/>
        <v>36.576999999999998</v>
      </c>
      <c r="AH165" s="52">
        <f t="shared" si="254"/>
        <v>118.336</v>
      </c>
      <c r="AI165" s="52">
        <f t="shared" si="254"/>
        <v>138.745</v>
      </c>
      <c r="AJ165" s="52">
        <f t="shared" si="254"/>
        <v>169.65299999999999</v>
      </c>
      <c r="AK165" s="52">
        <f t="shared" si="254"/>
        <v>26.905000000000001</v>
      </c>
      <c r="AL165" s="52">
        <f t="shared" si="254"/>
        <v>85.593000000000004</v>
      </c>
      <c r="AM165" s="52">
        <f t="shared" si="254"/>
        <v>111.52200000000001</v>
      </c>
      <c r="AN165" s="52">
        <f t="shared" si="254"/>
        <v>232.73099999999999</v>
      </c>
      <c r="AO165" s="52">
        <f t="shared" si="254"/>
        <v>37.382999999999996</v>
      </c>
      <c r="AP165" s="52">
        <f t="shared" si="254"/>
        <v>78.176000000000016</v>
      </c>
      <c r="AQ165" s="52">
        <f t="shared" si="254"/>
        <v>178.39600000000002</v>
      </c>
      <c r="AR165" s="97">
        <v>261.96100000000001</v>
      </c>
      <c r="AS165" s="52">
        <v>58.59</v>
      </c>
      <c r="AT165" s="52">
        <v>115.53100000000001</v>
      </c>
      <c r="AU165" s="52">
        <v>163.97499999999999</v>
      </c>
      <c r="AV165" s="52">
        <v>291.78399999999999</v>
      </c>
    </row>
    <row r="166" spans="1:48" ht="15" customHeight="1" x14ac:dyDescent="0.25">
      <c r="B166" s="27" t="s">
        <v>58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3">
        <v>79.602000000000004</v>
      </c>
      <c r="AR166" s="88">
        <v>117.54900000000001</v>
      </c>
      <c r="AS166" s="3">
        <v>39.792999999999999</v>
      </c>
      <c r="AT166" s="3">
        <v>97.843999999999994</v>
      </c>
      <c r="AU166" s="3">
        <v>147.16800000000001</v>
      </c>
      <c r="AV166" s="3">
        <v>195.626</v>
      </c>
    </row>
    <row r="167" spans="1:48" ht="15" customHeight="1" x14ac:dyDescent="0.25">
      <c r="B167" s="27" t="s">
        <v>74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3">
        <v>51.792999999999999</v>
      </c>
      <c r="AR167" s="88">
        <v>67.397000000000006</v>
      </c>
      <c r="AS167" s="3">
        <v>22.853000000000002</v>
      </c>
      <c r="AT167" s="3">
        <v>41.866999999999997</v>
      </c>
      <c r="AU167" s="3">
        <v>59.436999999999998</v>
      </c>
      <c r="AV167" s="3">
        <v>86.021000000000001</v>
      </c>
    </row>
    <row r="168" spans="1:48" ht="15" customHeight="1" x14ac:dyDescent="0.25">
      <c r="B168" s="27" t="s">
        <v>75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3">
        <v>0.96699999999999997</v>
      </c>
      <c r="AR168" s="88">
        <v>1.367</v>
      </c>
      <c r="AS168" s="3">
        <v>0.42699999999999999</v>
      </c>
      <c r="AT168" s="3">
        <v>0.88</v>
      </c>
      <c r="AU168" s="3">
        <v>1.3009999999999999</v>
      </c>
      <c r="AV168" s="94"/>
    </row>
    <row r="169" spans="1:48" ht="15" customHeight="1" x14ac:dyDescent="0.25">
      <c r="B169" s="27" t="s">
        <v>76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3">
        <v>3.2509999999999999</v>
      </c>
      <c r="AR169" s="3">
        <v>4.96</v>
      </c>
      <c r="AS169" s="3">
        <v>1.365</v>
      </c>
      <c r="AT169" s="3">
        <v>2.9449999999999998</v>
      </c>
      <c r="AU169" s="3">
        <v>4.641</v>
      </c>
      <c r="AV169" s="3">
        <v>7.4610000000000003</v>
      </c>
    </row>
    <row r="170" spans="1:48" ht="15" customHeight="1" x14ac:dyDescent="0.25">
      <c r="A170" s="65" t="s">
        <v>165</v>
      </c>
      <c r="B170" s="51" t="s">
        <v>163</v>
      </c>
      <c r="C170" s="52">
        <f t="shared" ref="C170:AQ170" si="255">+SUM(C166:C169)</f>
        <v>64.634200000000007</v>
      </c>
      <c r="D170" s="52">
        <f t="shared" si="255"/>
        <v>89.929999999999993</v>
      </c>
      <c r="E170" s="52">
        <f t="shared" si="255"/>
        <v>24.072999999999997</v>
      </c>
      <c r="F170" s="52">
        <f t="shared" si="255"/>
        <v>45.598000000000006</v>
      </c>
      <c r="G170" s="52">
        <f t="shared" si="255"/>
        <v>65.533999999999992</v>
      </c>
      <c r="H170" s="52">
        <f t="shared" si="255"/>
        <v>84.487999999999985</v>
      </c>
      <c r="I170" s="52">
        <f t="shared" si="255"/>
        <v>21.442999999999998</v>
      </c>
      <c r="J170" s="52">
        <f t="shared" si="255"/>
        <v>37.966000000000001</v>
      </c>
      <c r="K170" s="52">
        <f t="shared" si="255"/>
        <v>55.790000000000006</v>
      </c>
      <c r="L170" s="52">
        <f t="shared" si="255"/>
        <v>73.074999999999989</v>
      </c>
      <c r="M170" s="52">
        <f t="shared" si="255"/>
        <v>16.878</v>
      </c>
      <c r="N170" s="52">
        <f t="shared" si="255"/>
        <v>33.096000000000004</v>
      </c>
      <c r="O170" s="52">
        <f t="shared" si="255"/>
        <v>53.508000000000003</v>
      </c>
      <c r="P170" s="52">
        <f t="shared" si="255"/>
        <v>75.097999999999999</v>
      </c>
      <c r="Q170" s="52">
        <f t="shared" si="255"/>
        <v>20.731999999999999</v>
      </c>
      <c r="R170" s="52">
        <f t="shared" si="255"/>
        <v>43.661000000000001</v>
      </c>
      <c r="S170" s="52">
        <f t="shared" si="255"/>
        <v>68.039000000000001</v>
      </c>
      <c r="T170" s="52">
        <f t="shared" si="255"/>
        <v>90.939000000000007</v>
      </c>
      <c r="U170" s="52">
        <f t="shared" si="255"/>
        <v>18.682000000000002</v>
      </c>
      <c r="V170" s="52">
        <f t="shared" si="255"/>
        <v>38.298999999999999</v>
      </c>
      <c r="W170" s="52">
        <f t="shared" si="255"/>
        <v>60.198999999999998</v>
      </c>
      <c r="X170" s="52">
        <f t="shared" si="255"/>
        <v>82.500000000000014</v>
      </c>
      <c r="Y170" s="52">
        <f t="shared" si="255"/>
        <v>21.120000000000005</v>
      </c>
      <c r="Z170" s="52">
        <f t="shared" si="255"/>
        <v>48.192999999999998</v>
      </c>
      <c r="AA170" s="52">
        <f t="shared" si="255"/>
        <v>68.953000000000003</v>
      </c>
      <c r="AB170" s="52">
        <f t="shared" si="255"/>
        <v>89.997</v>
      </c>
      <c r="AC170" s="52">
        <f t="shared" si="255"/>
        <v>24.504999999999999</v>
      </c>
      <c r="AD170" s="52">
        <f t="shared" si="255"/>
        <v>52.495000000000005</v>
      </c>
      <c r="AE170" s="52">
        <f t="shared" si="255"/>
        <v>76.871999999999986</v>
      </c>
      <c r="AF170" s="52">
        <f t="shared" si="255"/>
        <v>100.607</v>
      </c>
      <c r="AG170" s="52">
        <f t="shared" si="255"/>
        <v>31.968000000000004</v>
      </c>
      <c r="AH170" s="52">
        <f t="shared" si="255"/>
        <v>55.869</v>
      </c>
      <c r="AI170" s="52">
        <f t="shared" si="255"/>
        <v>85.025000000000006</v>
      </c>
      <c r="AJ170" s="52">
        <f t="shared" si="255"/>
        <v>114.396</v>
      </c>
      <c r="AK170" s="52">
        <f t="shared" si="255"/>
        <v>34.676999999999992</v>
      </c>
      <c r="AL170" s="52">
        <f t="shared" si="255"/>
        <v>63.596000000000004</v>
      </c>
      <c r="AM170" s="52">
        <f t="shared" si="255"/>
        <v>98.986000000000004</v>
      </c>
      <c r="AN170" s="52">
        <f t="shared" si="255"/>
        <v>136.995</v>
      </c>
      <c r="AO170" s="52">
        <f t="shared" si="255"/>
        <v>43.153999999999996</v>
      </c>
      <c r="AP170" s="52">
        <f t="shared" si="255"/>
        <v>83.475000000000009</v>
      </c>
      <c r="AQ170" s="52">
        <f t="shared" si="255"/>
        <v>135.61300000000003</v>
      </c>
      <c r="AR170" s="52">
        <v>189.90600000000001</v>
      </c>
      <c r="AS170" s="52">
        <v>64.438000000000002</v>
      </c>
      <c r="AT170" s="52">
        <f t="shared" ref="AT170" si="256">+SUM(AT166:AT169)</f>
        <v>143.53599999999997</v>
      </c>
      <c r="AU170" s="52">
        <v>212.547</v>
      </c>
      <c r="AV170" s="52">
        <v>289.108</v>
      </c>
    </row>
    <row r="171" spans="1:48" x14ac:dyDescent="0.25">
      <c r="A171" s="65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1:48" x14ac:dyDescent="0.25">
      <c r="A172" s="65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:48" ht="20.100000000000001" customHeight="1" x14ac:dyDescent="0.25">
      <c r="B173" s="36" t="s">
        <v>166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</row>
    <row r="174" spans="1:48" x14ac:dyDescent="0.25">
      <c r="B174" s="38" t="s">
        <v>65</v>
      </c>
      <c r="C174" s="39" t="s">
        <v>99</v>
      </c>
      <c r="D174" s="39">
        <v>2008</v>
      </c>
      <c r="E174" s="39" t="s">
        <v>100</v>
      </c>
      <c r="F174" s="39" t="s">
        <v>101</v>
      </c>
      <c r="G174" s="39" t="s">
        <v>102</v>
      </c>
      <c r="H174" s="39">
        <v>2009</v>
      </c>
      <c r="I174" s="39" t="s">
        <v>103</v>
      </c>
      <c r="J174" s="39" t="s">
        <v>104</v>
      </c>
      <c r="K174" s="39" t="s">
        <v>105</v>
      </c>
      <c r="L174" s="39">
        <v>2010</v>
      </c>
      <c r="M174" s="39" t="s">
        <v>106</v>
      </c>
      <c r="N174" s="39" t="s">
        <v>107</v>
      </c>
      <c r="O174" s="39" t="s">
        <v>108</v>
      </c>
      <c r="P174" s="39">
        <v>2011</v>
      </c>
      <c r="Q174" s="39" t="s">
        <v>96</v>
      </c>
      <c r="R174" s="39" t="s">
        <v>97</v>
      </c>
      <c r="S174" s="39" t="s">
        <v>98</v>
      </c>
      <c r="T174" s="39">
        <v>2012</v>
      </c>
      <c r="U174" s="39" t="s">
        <v>93</v>
      </c>
      <c r="V174" s="39" t="s">
        <v>94</v>
      </c>
      <c r="W174" s="39" t="s">
        <v>95</v>
      </c>
      <c r="X174" s="39">
        <v>2013</v>
      </c>
      <c r="Y174" s="39" t="s">
        <v>90</v>
      </c>
      <c r="Z174" s="39" t="s">
        <v>91</v>
      </c>
      <c r="AA174" s="39" t="s">
        <v>92</v>
      </c>
      <c r="AB174" s="39">
        <v>2014</v>
      </c>
      <c r="AC174" s="39" t="s">
        <v>87</v>
      </c>
      <c r="AD174" s="39" t="s">
        <v>88</v>
      </c>
      <c r="AE174" s="39" t="s">
        <v>89</v>
      </c>
      <c r="AF174" s="39">
        <v>2015</v>
      </c>
      <c r="AG174" s="39" t="s">
        <v>84</v>
      </c>
      <c r="AH174" s="39" t="s">
        <v>85</v>
      </c>
      <c r="AI174" s="39" t="s">
        <v>86</v>
      </c>
      <c r="AJ174" s="39">
        <v>2016</v>
      </c>
      <c r="AK174" s="39" t="s">
        <v>83</v>
      </c>
      <c r="AL174" s="39" t="s">
        <v>82</v>
      </c>
      <c r="AM174" s="39" t="s">
        <v>81</v>
      </c>
      <c r="AN174" s="39">
        <v>2017</v>
      </c>
      <c r="AO174" s="39" t="s">
        <v>172</v>
      </c>
      <c r="AP174" s="39" t="s">
        <v>175</v>
      </c>
      <c r="AQ174" s="39" t="s">
        <v>177</v>
      </c>
      <c r="AR174" s="39">
        <v>2018</v>
      </c>
      <c r="AS174" s="39" t="s">
        <v>188</v>
      </c>
      <c r="AT174" s="39" t="s">
        <v>190</v>
      </c>
      <c r="AU174" s="39" t="s">
        <v>193</v>
      </c>
      <c r="AV174" s="39">
        <v>2019</v>
      </c>
    </row>
    <row r="175" spans="1:48" ht="15" customHeight="1" x14ac:dyDescent="0.25">
      <c r="B175" s="27" t="s">
        <v>58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3">
        <v>1921</v>
      </c>
      <c r="AR175" s="3">
        <v>2090.16</v>
      </c>
      <c r="AS175" s="3">
        <v>2630</v>
      </c>
      <c r="AT175" s="3">
        <v>2025.46</v>
      </c>
      <c r="AU175" s="3">
        <v>2109.7310000000002</v>
      </c>
      <c r="AV175" s="3">
        <v>1562.123</v>
      </c>
    </row>
    <row r="176" spans="1:48" ht="15" customHeight="1" x14ac:dyDescent="0.25">
      <c r="B176" s="27" t="s">
        <v>74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3">
        <v>609</v>
      </c>
      <c r="AR176" s="3">
        <v>671.71699999999998</v>
      </c>
      <c r="AS176" s="3">
        <v>436</v>
      </c>
      <c r="AT176" s="3">
        <v>371.61799999999999</v>
      </c>
      <c r="AU176" s="3">
        <v>248.48099999999999</v>
      </c>
      <c r="AV176" s="3">
        <v>510.56200000000001</v>
      </c>
    </row>
    <row r="177" spans="1:48" ht="15" customHeight="1" x14ac:dyDescent="0.25">
      <c r="B177" s="27" t="s">
        <v>75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3">
        <v>-282</v>
      </c>
      <c r="AR177" s="3">
        <v>-94.53</v>
      </c>
      <c r="AS177" s="3">
        <v>-71</v>
      </c>
      <c r="AT177" s="3">
        <v>-70.710999999999999</v>
      </c>
      <c r="AU177" s="3">
        <v>-66.736000000000004</v>
      </c>
      <c r="AV177" s="94"/>
    </row>
    <row r="178" spans="1:48" ht="15" customHeight="1" x14ac:dyDescent="0.25">
      <c r="B178" s="27" t="s">
        <v>76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3">
        <v>1178</v>
      </c>
      <c r="AR178" s="3">
        <v>833.64300000000003</v>
      </c>
      <c r="AS178" s="3">
        <v>1205</v>
      </c>
      <c r="AT178" s="3">
        <v>1279.665</v>
      </c>
      <c r="AU178" s="3">
        <v>1218.9259999999999</v>
      </c>
      <c r="AV178" s="3">
        <v>1256.3379</v>
      </c>
    </row>
    <row r="179" spans="1:48" ht="15" customHeight="1" x14ac:dyDescent="0.25">
      <c r="A179" s="65" t="s">
        <v>165</v>
      </c>
      <c r="B179" s="51" t="s">
        <v>167</v>
      </c>
      <c r="C179" s="52">
        <f t="shared" ref="C179:AQ179" si="257">+SUM(C175:C178)</f>
        <v>-70</v>
      </c>
      <c r="D179" s="52">
        <f t="shared" si="257"/>
        <v>-112</v>
      </c>
      <c r="E179" s="52">
        <f t="shared" si="257"/>
        <v>-215</v>
      </c>
      <c r="F179" s="52">
        <f t="shared" si="257"/>
        <v>-88</v>
      </c>
      <c r="G179" s="52">
        <f t="shared" si="257"/>
        <v>-20</v>
      </c>
      <c r="H179" s="52">
        <f t="shared" si="257"/>
        <v>49</v>
      </c>
      <c r="I179" s="52">
        <f t="shared" si="257"/>
        <v>134</v>
      </c>
      <c r="J179" s="52">
        <f t="shared" si="257"/>
        <v>88</v>
      </c>
      <c r="K179" s="52">
        <f t="shared" si="257"/>
        <v>95</v>
      </c>
      <c r="L179" s="52">
        <f t="shared" si="257"/>
        <v>282</v>
      </c>
      <c r="M179" s="52">
        <f t="shared" si="257"/>
        <v>372</v>
      </c>
      <c r="N179" s="52">
        <f t="shared" si="257"/>
        <v>306</v>
      </c>
      <c r="O179" s="52">
        <f t="shared" si="257"/>
        <v>190</v>
      </c>
      <c r="P179" s="52">
        <f t="shared" si="257"/>
        <v>376</v>
      </c>
      <c r="Q179" s="52">
        <f t="shared" si="257"/>
        <v>451</v>
      </c>
      <c r="R179" s="52">
        <f t="shared" si="257"/>
        <v>381</v>
      </c>
      <c r="S179" s="52">
        <f t="shared" si="257"/>
        <v>265</v>
      </c>
      <c r="T179" s="52">
        <f t="shared" si="257"/>
        <v>635</v>
      </c>
      <c r="U179" s="52">
        <f t="shared" si="257"/>
        <v>683</v>
      </c>
      <c r="V179" s="52">
        <f t="shared" si="257"/>
        <v>378</v>
      </c>
      <c r="W179" s="52">
        <f t="shared" si="257"/>
        <v>102</v>
      </c>
      <c r="X179" s="52">
        <f t="shared" si="257"/>
        <v>194</v>
      </c>
      <c r="Y179" s="52">
        <f t="shared" si="257"/>
        <v>377</v>
      </c>
      <c r="Z179" s="52">
        <f t="shared" si="257"/>
        <v>127</v>
      </c>
      <c r="AA179" s="52">
        <f t="shared" si="257"/>
        <v>-68</v>
      </c>
      <c r="AB179" s="52">
        <f t="shared" si="257"/>
        <v>2</v>
      </c>
      <c r="AC179" s="52">
        <f t="shared" si="257"/>
        <v>110</v>
      </c>
      <c r="AD179" s="52">
        <f t="shared" si="257"/>
        <v>35</v>
      </c>
      <c r="AE179" s="52">
        <f t="shared" si="257"/>
        <v>-233</v>
      </c>
      <c r="AF179" s="52">
        <f t="shared" si="257"/>
        <v>-182</v>
      </c>
      <c r="AG179" s="52">
        <f t="shared" si="257"/>
        <v>80</v>
      </c>
      <c r="AH179" s="52">
        <f t="shared" si="257"/>
        <v>157</v>
      </c>
      <c r="AI179" s="52">
        <f t="shared" si="257"/>
        <v>114</v>
      </c>
      <c r="AJ179" s="52">
        <f t="shared" si="257"/>
        <v>332</v>
      </c>
      <c r="AK179" s="52">
        <f t="shared" si="257"/>
        <v>1913</v>
      </c>
      <c r="AL179" s="52">
        <f t="shared" si="257"/>
        <v>1767</v>
      </c>
      <c r="AM179" s="52">
        <f t="shared" si="257"/>
        <v>1731</v>
      </c>
      <c r="AN179" s="52">
        <f t="shared" si="257"/>
        <v>2136</v>
      </c>
      <c r="AO179" s="52">
        <f t="shared" si="257"/>
        <v>2691</v>
      </c>
      <c r="AP179" s="52">
        <f t="shared" si="257"/>
        <v>2865</v>
      </c>
      <c r="AQ179" s="52">
        <f t="shared" si="257"/>
        <v>3426</v>
      </c>
      <c r="AR179" s="52">
        <v>3595.52</v>
      </c>
      <c r="AS179" s="52">
        <v>4201</v>
      </c>
      <c r="AT179" s="52">
        <v>3606.0320000000002</v>
      </c>
      <c r="AU179" s="52">
        <v>3508.4549999999999</v>
      </c>
      <c r="AV179" s="52">
        <v>3329.0230000000001</v>
      </c>
    </row>
    <row r="180" spans="1:48" x14ac:dyDescent="0.25">
      <c r="A180" s="65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2" spans="1:48" ht="20.100000000000001" customHeight="1" x14ac:dyDescent="0.25">
      <c r="B182" s="36" t="s">
        <v>139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</row>
    <row r="183" spans="1:48" x14ac:dyDescent="0.25">
      <c r="B183" s="38" t="s">
        <v>65</v>
      </c>
      <c r="C183" s="39" t="s">
        <v>99</v>
      </c>
      <c r="D183" s="39">
        <v>2008</v>
      </c>
      <c r="E183" s="39" t="s">
        <v>100</v>
      </c>
      <c r="F183" s="39" t="s">
        <v>101</v>
      </c>
      <c r="G183" s="39" t="s">
        <v>102</v>
      </c>
      <c r="H183" s="39">
        <v>2009</v>
      </c>
      <c r="I183" s="39" t="s">
        <v>103</v>
      </c>
      <c r="J183" s="39" t="s">
        <v>104</v>
      </c>
      <c r="K183" s="39" t="s">
        <v>105</v>
      </c>
      <c r="L183" s="39">
        <v>2010</v>
      </c>
      <c r="M183" s="39" t="s">
        <v>106</v>
      </c>
      <c r="N183" s="39" t="s">
        <v>107</v>
      </c>
      <c r="O183" s="39" t="s">
        <v>108</v>
      </c>
      <c r="P183" s="39">
        <v>2011</v>
      </c>
      <c r="Q183" s="39" t="s">
        <v>96</v>
      </c>
      <c r="R183" s="39" t="s">
        <v>97</v>
      </c>
      <c r="S183" s="39" t="s">
        <v>98</v>
      </c>
      <c r="T183" s="39">
        <v>2012</v>
      </c>
      <c r="U183" s="39" t="s">
        <v>93</v>
      </c>
      <c r="V183" s="39" t="s">
        <v>94</v>
      </c>
      <c r="W183" s="39" t="s">
        <v>95</v>
      </c>
      <c r="X183" s="39">
        <v>2013</v>
      </c>
      <c r="Y183" s="39" t="s">
        <v>90</v>
      </c>
      <c r="Z183" s="39" t="s">
        <v>91</v>
      </c>
      <c r="AA183" s="39" t="s">
        <v>92</v>
      </c>
      <c r="AB183" s="39">
        <v>2014</v>
      </c>
      <c r="AC183" s="39" t="s">
        <v>87</v>
      </c>
      <c r="AD183" s="39" t="s">
        <v>88</v>
      </c>
      <c r="AE183" s="39" t="s">
        <v>89</v>
      </c>
      <c r="AF183" s="39">
        <v>2015</v>
      </c>
      <c r="AG183" s="39" t="s">
        <v>84</v>
      </c>
      <c r="AH183" s="39" t="s">
        <v>85</v>
      </c>
      <c r="AI183" s="39" t="s">
        <v>86</v>
      </c>
      <c r="AJ183" s="39">
        <v>2016</v>
      </c>
      <c r="AK183" s="39" t="s">
        <v>83</v>
      </c>
      <c r="AL183" s="39" t="s">
        <v>82</v>
      </c>
      <c r="AM183" s="39" t="s">
        <v>81</v>
      </c>
      <c r="AN183" s="39">
        <v>2017</v>
      </c>
      <c r="AO183" s="39" t="s">
        <v>172</v>
      </c>
      <c r="AP183" s="39" t="s">
        <v>175</v>
      </c>
      <c r="AQ183" s="39" t="s">
        <v>177</v>
      </c>
      <c r="AR183" s="39">
        <v>2018</v>
      </c>
      <c r="AS183" s="39" t="s">
        <v>188</v>
      </c>
      <c r="AT183" s="39" t="s">
        <v>190</v>
      </c>
      <c r="AU183" s="39" t="s">
        <v>193</v>
      </c>
      <c r="AV183" s="39">
        <v>2019</v>
      </c>
    </row>
    <row r="184" spans="1:48" ht="15" customHeight="1" x14ac:dyDescent="0.25">
      <c r="B184" s="10" t="s">
        <v>149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3">
        <v>-3595.52</v>
      </c>
      <c r="AS184" s="13">
        <v>-4201</v>
      </c>
      <c r="AT184" s="13">
        <v>-3606.0320000000002</v>
      </c>
      <c r="AU184" s="13">
        <v>-3510.402</v>
      </c>
      <c r="AV184" s="3">
        <v>-3329.0228999999999</v>
      </c>
    </row>
    <row r="185" spans="1:48" ht="15" customHeight="1" x14ac:dyDescent="0.25">
      <c r="B185" s="41" t="s">
        <v>140</v>
      </c>
      <c r="C185" s="58">
        <v>-0.18488143914814439</v>
      </c>
      <c r="D185" s="58">
        <v>-0.45176988281819802</v>
      </c>
      <c r="E185" s="58">
        <v>-1.2064921630798984</v>
      </c>
      <c r="F185" s="58">
        <v>-0.88765736043138932</v>
      </c>
      <c r="G185" s="58">
        <v>-0.23180805484147388</v>
      </c>
      <c r="H185" s="58">
        <v>0.24285919476184109</v>
      </c>
      <c r="I185" s="58">
        <v>0.61624740067352457</v>
      </c>
      <c r="J185" s="58">
        <v>0.30328617307525391</v>
      </c>
      <c r="K185" s="58">
        <v>0.34476018643812961</v>
      </c>
      <c r="L185" s="58">
        <v>0.94894007611084308</v>
      </c>
      <c r="M185" s="58">
        <v>1.305408957069873</v>
      </c>
      <c r="N185" s="58">
        <v>0.9809917487783385</v>
      </c>
      <c r="O185" s="58">
        <v>0.53184328808783743</v>
      </c>
      <c r="P185" s="58">
        <v>0.98328244055470948</v>
      </c>
      <c r="Q185" s="58">
        <v>1.1667119998134865</v>
      </c>
      <c r="R185" s="58">
        <v>1.0032161891193077</v>
      </c>
      <c r="S185" s="58">
        <v>0.75555555555555554</v>
      </c>
      <c r="T185" s="58">
        <v>2.447698115535744</v>
      </c>
      <c r="U185" s="58">
        <v>2.4661886432044455</v>
      </c>
      <c r="V185" s="58">
        <v>4.5627529875182757</v>
      </c>
      <c r="W185" s="58">
        <v>2.3485875575503781</v>
      </c>
      <c r="X185" s="58">
        <v>-8.0084936297776661</v>
      </c>
      <c r="Y185" s="58">
        <v>12.52334184943097</v>
      </c>
      <c r="Z185" s="58">
        <v>0.60706756349764079</v>
      </c>
      <c r="AA185" s="58">
        <v>-0.26439259742681337</v>
      </c>
      <c r="AB185" s="58">
        <v>3.234755299659775E-3</v>
      </c>
      <c r="AC185" s="58">
        <v>0.59162968688348261</v>
      </c>
      <c r="AD185" s="58">
        <v>0.20573313629434831</v>
      </c>
      <c r="AE185" s="58">
        <v>-1.2994358148938185</v>
      </c>
      <c r="AF185" s="58">
        <v>-0.75364638331573386</v>
      </c>
      <c r="AG185" s="58">
        <v>0.22354283243390866</v>
      </c>
      <c r="AH185" s="58">
        <v>0.40661878352577507</v>
      </c>
      <c r="AI185" s="58">
        <v>0.32967652741302916</v>
      </c>
      <c r="AJ185" s="58">
        <v>0.70137565823252102</v>
      </c>
      <c r="AK185" s="58">
        <v>3.7971219023233194</v>
      </c>
      <c r="AL185" s="58">
        <v>3.0220424699063142</v>
      </c>
      <c r="AM185" s="58">
        <v>2.3762537373493213</v>
      </c>
      <c r="AN185" s="58">
        <f>(AN184/AN63)*-1</f>
        <v>2.1253731343283584</v>
      </c>
      <c r="AO185" s="58">
        <f>(AO184/(AO63+AN63-AK63))*-1</f>
        <v>2.4974477958236658</v>
      </c>
      <c r="AP185" s="58">
        <f>(AP184/(AP63+AN63-AL63))*-1</f>
        <v>2.5741239892183287</v>
      </c>
      <c r="AQ185" s="58">
        <f>(AQ184/(AQ63+AN63-AM63))*-1</f>
        <v>2.6273006134969323</v>
      </c>
      <c r="AR185" s="58">
        <f>(AR184/AR63)*-1</f>
        <v>2.3951164011436274</v>
      </c>
      <c r="AS185" s="58">
        <f>(AS184/(AS63+AR63-AO63))*-1</f>
        <v>1.9554778515717368</v>
      </c>
      <c r="AT185" s="58">
        <f>(AT184/(AT63+AR63-AP63))*-1</f>
        <v>1.5640685546937687</v>
      </c>
      <c r="AU185" s="58">
        <f>(AU184/(AU63+AR63-AQ63))*-1</f>
        <v>1.514162265962554</v>
      </c>
      <c r="AV185" s="95">
        <f>(AV184/AV63)*-1</f>
        <v>1.7329202081363921</v>
      </c>
    </row>
    <row r="186" spans="1:48" ht="15" customHeight="1" x14ac:dyDescent="0.25">
      <c r="B186" s="41" t="s">
        <v>141</v>
      </c>
      <c r="C186" s="58">
        <f t="shared" ref="C186:AM186" si="258">+C184/C113</f>
        <v>4.9923472349768308E-2</v>
      </c>
      <c r="D186" s="58">
        <f t="shared" si="258"/>
        <v>8.3036486304323379E-2</v>
      </c>
      <c r="E186" s="58">
        <f t="shared" si="258"/>
        <v>0.15290892910453877</v>
      </c>
      <c r="F186" s="58">
        <f t="shared" si="258"/>
        <v>6.4374682395053923E-2</v>
      </c>
      <c r="G186" s="58">
        <f t="shared" si="258"/>
        <v>1.4175185704783889E-2</v>
      </c>
      <c r="H186" s="58">
        <f t="shared" si="258"/>
        <v>-3.3959227319192084E-2</v>
      </c>
      <c r="I186" s="58">
        <f t="shared" si="258"/>
        <v>-8.5652023229314658E-2</v>
      </c>
      <c r="J186" s="58">
        <f t="shared" si="258"/>
        <v>-5.5405446546816249E-2</v>
      </c>
      <c r="K186" s="58">
        <f t="shared" si="258"/>
        <v>-5.9447944081131431E-2</v>
      </c>
      <c r="L186" s="58">
        <f t="shared" si="258"/>
        <v>-0.16834464565136903</v>
      </c>
      <c r="M186" s="58">
        <f t="shared" si="258"/>
        <v>-0.21264909596574463</v>
      </c>
      <c r="N186" s="58">
        <f t="shared" si="258"/>
        <v>-0.17350658506976127</v>
      </c>
      <c r="O186" s="58">
        <f t="shared" si="258"/>
        <v>-0.10312338080444346</v>
      </c>
      <c r="P186" s="58">
        <f t="shared" si="258"/>
        <v>-0.19942244303101389</v>
      </c>
      <c r="Q186" s="58">
        <f t="shared" si="258"/>
        <v>-0.22606634214702967</v>
      </c>
      <c r="R186" s="58">
        <f t="shared" si="258"/>
        <v>-0.19435647106931095</v>
      </c>
      <c r="S186" s="58">
        <f t="shared" si="258"/>
        <v>-0.13257662316836047</v>
      </c>
      <c r="T186" s="58">
        <f t="shared" si="258"/>
        <v>-0.30065576798743882</v>
      </c>
      <c r="U186" s="58">
        <f t="shared" si="258"/>
        <v>-0.30291897012864727</v>
      </c>
      <c r="V186" s="58">
        <f t="shared" si="258"/>
        <v>-0.19065174443584465</v>
      </c>
      <c r="W186" s="58">
        <f t="shared" si="258"/>
        <v>-5.0895546633402455E-2</v>
      </c>
      <c r="X186" s="58">
        <f t="shared" si="258"/>
        <v>-0.10006674654054711</v>
      </c>
      <c r="Y186" s="58">
        <f t="shared" si="258"/>
        <v>-0.18131513653602729</v>
      </c>
      <c r="Z186" s="58">
        <f t="shared" si="258"/>
        <v>-6.0580516170213379E-2</v>
      </c>
      <c r="AA186" s="58">
        <f t="shared" si="258"/>
        <v>3.1033289393710722E-2</v>
      </c>
      <c r="AB186" s="58">
        <f t="shared" si="258"/>
        <v>-4.644139666864389E-4</v>
      </c>
      <c r="AC186" s="58">
        <f t="shared" si="258"/>
        <v>-5.2945683488732513E-2</v>
      </c>
      <c r="AD186" s="58">
        <f t="shared" si="258"/>
        <v>-1.7172911663505923E-2</v>
      </c>
      <c r="AE186" s="58">
        <f t="shared" si="258"/>
        <v>0.11005009244934154</v>
      </c>
      <c r="AF186" s="58">
        <f t="shared" si="258"/>
        <v>8.7624062710567885E-2</v>
      </c>
      <c r="AG186" s="58">
        <f t="shared" si="258"/>
        <v>-3.6253798736514978E-2</v>
      </c>
      <c r="AH186" s="58">
        <f t="shared" si="258"/>
        <v>-7.0271697117106915E-2</v>
      </c>
      <c r="AI186" s="58">
        <f t="shared" si="258"/>
        <v>-5.1383641533002782E-2</v>
      </c>
      <c r="AJ186" s="58">
        <f t="shared" si="258"/>
        <v>-0.13893295823374829</v>
      </c>
      <c r="AK186" s="58">
        <f t="shared" si="258"/>
        <v>-0.79162945791224337</v>
      </c>
      <c r="AL186" s="58">
        <f t="shared" si="258"/>
        <v>-0.67905965425932702</v>
      </c>
      <c r="AM186" s="58">
        <f t="shared" si="258"/>
        <v>-0.63530620884997868</v>
      </c>
      <c r="AN186" s="58">
        <f t="shared" ref="AN186:AR186" si="259">+AN184/AN113</f>
        <v>-0.71003226391925844</v>
      </c>
      <c r="AO186" s="58">
        <f t="shared" si="259"/>
        <v>-0.88202382349297159</v>
      </c>
      <c r="AP186" s="58">
        <f t="shared" si="259"/>
        <v>-0.83429138522072466</v>
      </c>
      <c r="AQ186" s="58">
        <f t="shared" si="259"/>
        <v>-0.81116749874868055</v>
      </c>
      <c r="AR186" s="77">
        <f t="shared" si="259"/>
        <v>-0.81265800182849846</v>
      </c>
      <c r="AS186" s="58">
        <f t="shared" ref="AS186:AV186" si="260">+AS184/AS113</f>
        <v>-0.8618813139576561</v>
      </c>
      <c r="AT186" s="58">
        <f t="shared" si="260"/>
        <v>-0.69735329120371858</v>
      </c>
      <c r="AU186" s="58">
        <f t="shared" si="260"/>
        <v>-0.65113543345907532</v>
      </c>
      <c r="AV186" s="95">
        <f t="shared" si="260"/>
        <v>-0.60562154462448625</v>
      </c>
    </row>
    <row r="187" spans="1:48" ht="15" customHeight="1" x14ac:dyDescent="0.25">
      <c r="B187" s="41" t="s">
        <v>142</v>
      </c>
      <c r="C187" s="58">
        <f t="shared" ref="C187:AM187" si="261">+(C111+C112)/C113</f>
        <v>0.36995542044466961</v>
      </c>
      <c r="D187" s="58">
        <f t="shared" si="261"/>
        <v>0.46015373237815993</v>
      </c>
      <c r="E187" s="58">
        <f t="shared" si="261"/>
        <v>0.48645981550265088</v>
      </c>
      <c r="F187" s="58">
        <f t="shared" si="261"/>
        <v>0.44433826489933148</v>
      </c>
      <c r="G187" s="58">
        <f t="shared" si="261"/>
        <v>0.39511382627310482</v>
      </c>
      <c r="H187" s="58">
        <f t="shared" si="261"/>
        <v>0.35481900508896691</v>
      </c>
      <c r="I187" s="58">
        <f t="shared" si="261"/>
        <v>0.3312626367906612</v>
      </c>
      <c r="J187" s="58">
        <f t="shared" si="261"/>
        <v>0.33928145565991302</v>
      </c>
      <c r="K187" s="58">
        <f t="shared" si="261"/>
        <v>0.29839626566774208</v>
      </c>
      <c r="L187" s="58">
        <f t="shared" si="261"/>
        <v>0.28245672525775861</v>
      </c>
      <c r="M187" s="58">
        <f t="shared" si="261"/>
        <v>0.27101280798666144</v>
      </c>
      <c r="N187" s="58">
        <f t="shared" si="261"/>
        <v>0.25757603236369947</v>
      </c>
      <c r="O187" s="58">
        <f t="shared" si="261"/>
        <v>0.27654505130478707</v>
      </c>
      <c r="P187" s="58">
        <f t="shared" si="261"/>
        <v>0.21714912963828256</v>
      </c>
      <c r="Q187" s="58">
        <f t="shared" si="261"/>
        <v>0.19809635000737849</v>
      </c>
      <c r="R187" s="58">
        <f t="shared" si="261"/>
        <v>0.24442649764874255</v>
      </c>
      <c r="S187" s="58">
        <f t="shared" si="261"/>
        <v>0.21564836530559064</v>
      </c>
      <c r="T187" s="58">
        <f t="shared" si="261"/>
        <v>0.20319429346860771</v>
      </c>
      <c r="U187" s="58">
        <f t="shared" si="261"/>
        <v>0.22422999826254422</v>
      </c>
      <c r="V187" s="58">
        <f t="shared" si="261"/>
        <v>0.29092392519901106</v>
      </c>
      <c r="W187" s="58">
        <f t="shared" si="261"/>
        <v>0.37815211156880602</v>
      </c>
      <c r="X187" s="58">
        <f t="shared" si="261"/>
        <v>0.47389887717023799</v>
      </c>
      <c r="Y187" s="58">
        <f t="shared" si="261"/>
        <v>0.45737947864350276</v>
      </c>
      <c r="Z187" s="58">
        <f t="shared" si="261"/>
        <v>0.46877470280306599</v>
      </c>
      <c r="AA187" s="58">
        <f t="shared" si="261"/>
        <v>0.46058041338506378</v>
      </c>
      <c r="AB187" s="58">
        <f t="shared" si="261"/>
        <v>0.54503913702165863</v>
      </c>
      <c r="AC187" s="58">
        <f t="shared" si="261"/>
        <v>0.54976627241259879</v>
      </c>
      <c r="AD187" s="58">
        <f t="shared" si="261"/>
        <v>0.56418461329260394</v>
      </c>
      <c r="AE187" s="58">
        <f t="shared" si="261"/>
        <v>0.65490547526508436</v>
      </c>
      <c r="AF187" s="58">
        <f t="shared" si="261"/>
        <v>0.58265292175326777</v>
      </c>
      <c r="AG187" s="58">
        <f t="shared" si="261"/>
        <v>0.5303619797397644</v>
      </c>
      <c r="AH187" s="58">
        <f t="shared" si="261"/>
        <v>0.48417277426271144</v>
      </c>
      <c r="AI187" s="58">
        <f t="shared" si="261"/>
        <v>0.48141132473190212</v>
      </c>
      <c r="AJ187" s="58">
        <f t="shared" si="261"/>
        <v>0.52993813294377667</v>
      </c>
      <c r="AK187" s="58">
        <f t="shared" si="261"/>
        <v>0.51547208288193158</v>
      </c>
      <c r="AL187" s="58">
        <f t="shared" si="261"/>
        <v>0.4974500779623382</v>
      </c>
      <c r="AM187" s="58">
        <f t="shared" si="261"/>
        <v>0.40928479973151399</v>
      </c>
      <c r="AN187" s="58">
        <f t="shared" ref="AN187:AR187" si="262">+(AN111+AN112)/AN113</f>
        <v>0.3921442376028566</v>
      </c>
      <c r="AO187" s="58">
        <f t="shared" si="262"/>
        <v>0.37967077665950605</v>
      </c>
      <c r="AP187" s="58">
        <f t="shared" si="262"/>
        <v>0.34911993178903522</v>
      </c>
      <c r="AQ187" s="58">
        <f t="shared" si="262"/>
        <v>0.31019201419093256</v>
      </c>
      <c r="AR187" s="77">
        <f t="shared" si="262"/>
        <v>0.2527308253444821</v>
      </c>
      <c r="AS187" s="58">
        <f t="shared" ref="AS187:AV187" si="263">+(AS111+AS112)/AS113</f>
        <v>0.16791072870926452</v>
      </c>
      <c r="AT187" s="58">
        <f t="shared" si="263"/>
        <v>0.16580036534335738</v>
      </c>
      <c r="AU187" s="58">
        <f t="shared" si="263"/>
        <v>0.15525928267189443</v>
      </c>
      <c r="AV187" s="95">
        <f t="shared" si="263"/>
        <v>0.15207672730117322</v>
      </c>
    </row>
    <row r="188" spans="1:48" ht="15" customHeight="1" x14ac:dyDescent="0.25">
      <c r="B188" s="41" t="s">
        <v>143</v>
      </c>
      <c r="C188" s="58">
        <f t="shared" ref="C188:AM188" si="264">+C109/C113</f>
        <v>1.9920481614012124</v>
      </c>
      <c r="D188" s="58">
        <f t="shared" si="264"/>
        <v>2.2314684413687709</v>
      </c>
      <c r="E188" s="58">
        <f t="shared" si="264"/>
        <v>2.1252272016382032</v>
      </c>
      <c r="F188" s="58">
        <f t="shared" si="264"/>
        <v>2.0858630288687081</v>
      </c>
      <c r="G188" s="58">
        <f t="shared" si="264"/>
        <v>2.0180583579728695</v>
      </c>
      <c r="H188" s="58">
        <f t="shared" si="264"/>
        <v>1.9210524493250263</v>
      </c>
      <c r="I188" s="58">
        <f t="shared" si="264"/>
        <v>1.8443288065754155</v>
      </c>
      <c r="J188" s="58">
        <f t="shared" si="264"/>
        <v>1.8289879946620391</v>
      </c>
      <c r="K188" s="58">
        <f t="shared" si="264"/>
        <v>1.8019620167518848</v>
      </c>
      <c r="L188" s="58">
        <f t="shared" si="264"/>
        <v>1.8220236896044937</v>
      </c>
      <c r="M188" s="58">
        <f t="shared" si="264"/>
        <v>1.8363065239626744</v>
      </c>
      <c r="N188" s="58">
        <f t="shared" si="264"/>
        <v>1.9225513277255297</v>
      </c>
      <c r="O188" s="58">
        <f t="shared" si="264"/>
        <v>1.986480597836809</v>
      </c>
      <c r="P188" s="58">
        <f t="shared" si="264"/>
        <v>1.985440817628255</v>
      </c>
      <c r="Q188" s="58">
        <f t="shared" si="264"/>
        <v>1.9799335233335911</v>
      </c>
      <c r="R188" s="58">
        <f t="shared" si="264"/>
        <v>2.0402438151707214</v>
      </c>
      <c r="S188" s="58">
        <f t="shared" si="264"/>
        <v>1.9833057710425561</v>
      </c>
      <c r="T188" s="58">
        <f t="shared" si="264"/>
        <v>1.9559936815132162</v>
      </c>
      <c r="U188" s="58">
        <f t="shared" si="264"/>
        <v>1.9688813228837145</v>
      </c>
      <c r="V188" s="58">
        <f t="shared" si="264"/>
        <v>2.1509202193804215</v>
      </c>
      <c r="W188" s="58">
        <f t="shared" si="264"/>
        <v>2.2336297765495332</v>
      </c>
      <c r="X188" s="58">
        <f t="shared" si="264"/>
        <v>2.4437765744093869</v>
      </c>
      <c r="Y188" s="58">
        <f t="shared" si="264"/>
        <v>2.3574902062511858</v>
      </c>
      <c r="Z188" s="58">
        <f t="shared" si="264"/>
        <v>2.3411394787347777</v>
      </c>
      <c r="AA188" s="58">
        <f t="shared" si="264"/>
        <v>2.2783078852852117</v>
      </c>
      <c r="AB188" s="58">
        <f t="shared" si="264"/>
        <v>2.4826268095612165</v>
      </c>
      <c r="AC188" s="58">
        <f t="shared" si="264"/>
        <v>2.5860008203683531</v>
      </c>
      <c r="AD188" s="58">
        <f t="shared" si="264"/>
        <v>2.6611160619975087</v>
      </c>
      <c r="AE188" s="58">
        <f t="shared" si="264"/>
        <v>2.8710694879438514</v>
      </c>
      <c r="AF188" s="58">
        <f t="shared" si="264"/>
        <v>2.6981730199723279</v>
      </c>
      <c r="AG188" s="58">
        <f t="shared" si="264"/>
        <v>2.6121309510462991</v>
      </c>
      <c r="AH188" s="58">
        <f t="shared" si="264"/>
        <v>2.5360978903317268</v>
      </c>
      <c r="AI188" s="58">
        <f t="shared" si="264"/>
        <v>2.6008868000142451</v>
      </c>
      <c r="AJ188" s="58">
        <f t="shared" si="264"/>
        <v>2.8026600186513142</v>
      </c>
      <c r="AK188" s="58">
        <f t="shared" si="264"/>
        <v>3.5428826929013564</v>
      </c>
      <c r="AL188" s="58">
        <f t="shared" si="264"/>
        <v>3.2678606027242223</v>
      </c>
      <c r="AM188" s="58">
        <f t="shared" si="264"/>
        <v>3.0728532774428023</v>
      </c>
      <c r="AN188" s="58">
        <f t="shared" ref="AN188:AR188" si="265">+AN109/AN113</f>
        <v>3.1136211180082931</v>
      </c>
      <c r="AO188" s="58">
        <f t="shared" si="265"/>
        <v>3.2241310705101185</v>
      </c>
      <c r="AP188" s="58">
        <f t="shared" si="265"/>
        <v>3.0897374297185944</v>
      </c>
      <c r="AQ188" s="58">
        <f t="shared" si="265"/>
        <v>3.0419763790676169</v>
      </c>
      <c r="AR188" s="77">
        <f t="shared" si="265"/>
        <v>2.7202634484488839</v>
      </c>
      <c r="AS188" s="58">
        <f t="shared" ref="AS188" si="266">+AS109/AS113</f>
        <v>2.7564133838002016</v>
      </c>
      <c r="AT188" s="58">
        <f>+AT109/AT113</f>
        <v>2.4097094077654995</v>
      </c>
      <c r="AU188" s="58">
        <f>+AU109/AU113</f>
        <v>2.2706458171379622</v>
      </c>
      <c r="AV188" s="95">
        <f>+AV109/AV113</f>
        <v>2.3037015610702087</v>
      </c>
    </row>
    <row r="189" spans="1:48" ht="15" customHeight="1" x14ac:dyDescent="0.25">
      <c r="B189" s="41" t="s">
        <v>144</v>
      </c>
      <c r="C189" s="58">
        <v>1.4169516388381285</v>
      </c>
      <c r="D189" s="58">
        <v>1.2609307853595397</v>
      </c>
      <c r="E189" s="58">
        <v>1.2890532585359098</v>
      </c>
      <c r="F189" s="58">
        <v>1.298119600032541</v>
      </c>
      <c r="G189" s="58">
        <v>1.3174511137323608</v>
      </c>
      <c r="H189" s="58">
        <v>1.3886172628542284</v>
      </c>
      <c r="I189" s="58">
        <v>1.5312422404542014</v>
      </c>
      <c r="J189" s="58">
        <v>1.4652683786682392</v>
      </c>
      <c r="K189" s="58">
        <v>1.5598347918823665</v>
      </c>
      <c r="L189" s="58">
        <v>1.5204693177826616</v>
      </c>
      <c r="M189" s="58">
        <v>1.5288718369984144</v>
      </c>
      <c r="N189" s="58">
        <v>1.3994700835905591</v>
      </c>
      <c r="O189" s="58">
        <v>1.3680509018151183</v>
      </c>
      <c r="P189" s="58">
        <v>1.497160622103864</v>
      </c>
      <c r="Q189" s="58">
        <v>1.4473666070896472</v>
      </c>
      <c r="R189" s="58">
        <v>1.4135916756671765</v>
      </c>
      <c r="S189" s="58">
        <v>1.4323975116261574</v>
      </c>
      <c r="T189" s="58">
        <v>1.6284951261557579</v>
      </c>
      <c r="U189" s="58">
        <v>1.5932822264927062</v>
      </c>
      <c r="V189" s="58">
        <v>1.4587764508414374</v>
      </c>
      <c r="W189" s="58">
        <v>1.4160396767148551</v>
      </c>
      <c r="X189" s="58">
        <v>1.414806523632306</v>
      </c>
      <c r="Y189" s="58">
        <v>1.4048651322609051</v>
      </c>
      <c r="Z189" s="58">
        <v>1.4188503066602718</v>
      </c>
      <c r="AA189" s="58">
        <v>1.4903249403524836</v>
      </c>
      <c r="AB189" s="58">
        <v>1.4291064139160914</v>
      </c>
      <c r="AC189" s="58">
        <v>1.3683144662161824</v>
      </c>
      <c r="AD189" s="58">
        <v>1.3117905898216737</v>
      </c>
      <c r="AE189" s="58">
        <v>1.2400593230274304</v>
      </c>
      <c r="AF189" s="58">
        <v>1.2850736516576295</v>
      </c>
      <c r="AG189" s="58">
        <v>1.3318036239910931</v>
      </c>
      <c r="AH189" s="58">
        <v>1.217196036487268</v>
      </c>
      <c r="AI189" s="58">
        <v>1.2031789988308532</v>
      </c>
      <c r="AJ189" s="58">
        <v>1.1635333497751736</v>
      </c>
      <c r="AK189" s="58">
        <v>1.1026890882401366</v>
      </c>
      <c r="AL189" s="58">
        <v>1.1703102407672785</v>
      </c>
      <c r="AM189" s="58">
        <v>1.2134620647128691</v>
      </c>
      <c r="AN189" s="58">
        <v>1.2554748654251273</v>
      </c>
      <c r="AO189" s="58">
        <v>1.2067970068489018</v>
      </c>
      <c r="AP189" s="58">
        <v>1.2732521778241634</v>
      </c>
      <c r="AQ189" s="58">
        <v>1.2788315181807925</v>
      </c>
      <c r="AR189" s="58">
        <v>1.319474104577806</v>
      </c>
      <c r="AS189" s="58">
        <v>1.3258674495855256</v>
      </c>
      <c r="AT189" s="58">
        <v>1.3580654501923284</v>
      </c>
      <c r="AU189" s="58">
        <v>1.4139050112512892</v>
      </c>
      <c r="AV189" s="95">
        <v>1.3870722449481416</v>
      </c>
    </row>
    <row r="190" spans="1:48" ht="15" customHeight="1" x14ac:dyDescent="0.25">
      <c r="B190" s="41" t="s">
        <v>145</v>
      </c>
      <c r="C190" s="58">
        <v>0.35637167475872705</v>
      </c>
      <c r="D190" s="58">
        <v>0.33085501130044281</v>
      </c>
      <c r="E190" s="58">
        <v>0.32421566590484108</v>
      </c>
      <c r="F190" s="58">
        <v>0.37842842363606388</v>
      </c>
      <c r="G190" s="58">
        <v>0.40171357041972822</v>
      </c>
      <c r="H190" s="58">
        <v>0.45592023832341944</v>
      </c>
      <c r="I190" s="58">
        <v>0.5601968916279817</v>
      </c>
      <c r="J190" s="58">
        <v>0.50828787045878365</v>
      </c>
      <c r="K190" s="58">
        <v>0.48907946341067127</v>
      </c>
      <c r="L190" s="58">
        <v>0.58948682161385879</v>
      </c>
      <c r="M190" s="58">
        <v>0.61483723052139638</v>
      </c>
      <c r="N190" s="58">
        <v>0.50995202325625055</v>
      </c>
      <c r="O190" s="58">
        <v>0.4191405950830972</v>
      </c>
      <c r="P190" s="58">
        <v>0.463690165196952</v>
      </c>
      <c r="Q190" s="58">
        <v>0.45865982643602238</v>
      </c>
      <c r="R190" s="58">
        <v>0.45293713853961165</v>
      </c>
      <c r="S190" s="58">
        <v>0.38156749541076346</v>
      </c>
      <c r="T190" s="58">
        <v>0.58381908957544515</v>
      </c>
      <c r="U190" s="58">
        <v>0.58877671148027855</v>
      </c>
      <c r="V190" s="58">
        <v>0.45586635646051465</v>
      </c>
      <c r="W190" s="58">
        <v>0.38156734260003228</v>
      </c>
      <c r="X190" s="58">
        <v>0.45354950967876156</v>
      </c>
      <c r="Y190" s="58">
        <v>0.54581808403858112</v>
      </c>
      <c r="Z190" s="58">
        <v>0.46641869309887235</v>
      </c>
      <c r="AA190" s="58">
        <v>0.42122861363790826</v>
      </c>
      <c r="AB190" s="58">
        <v>0.45985803633911471</v>
      </c>
      <c r="AC190" s="58">
        <v>0.47891012082821349</v>
      </c>
      <c r="AD190" s="58">
        <v>0.43718658852730485</v>
      </c>
      <c r="AE190" s="58">
        <v>0.35084079427009773</v>
      </c>
      <c r="AF190" s="58">
        <v>0.35721919137526009</v>
      </c>
      <c r="AG190" s="58">
        <v>0.43483289468838265</v>
      </c>
      <c r="AH190" s="58">
        <v>0.40633144773231089</v>
      </c>
      <c r="AI190" s="58">
        <v>0.37125783488580871</v>
      </c>
      <c r="AJ190" s="58">
        <v>0.38070191602188902</v>
      </c>
      <c r="AK190" s="58">
        <v>0.53862194995717105</v>
      </c>
      <c r="AL190" s="58">
        <v>0.54246422225633495</v>
      </c>
      <c r="AM190" s="58">
        <v>0.5482011582415629</v>
      </c>
      <c r="AN190" s="58">
        <v>0.53445694901808183</v>
      </c>
      <c r="AO190" s="58">
        <v>0.62510245593376701</v>
      </c>
      <c r="AP190" s="58">
        <v>0.59192710416100813</v>
      </c>
      <c r="AQ190" s="58">
        <v>0.62066461888757707</v>
      </c>
      <c r="AR190" s="77">
        <v>0.67752527003927843</v>
      </c>
      <c r="AS190" s="58">
        <v>0.59546493337676831</v>
      </c>
      <c r="AT190" s="58">
        <v>0.65173690980210186</v>
      </c>
      <c r="AU190" s="58">
        <v>0.6473765874214753</v>
      </c>
      <c r="AV190" s="95">
        <f>4094.625/6645.129</f>
        <v>0.61618442621655656</v>
      </c>
    </row>
    <row r="191" spans="1:48" ht="15" customHeight="1" x14ac:dyDescent="0.25">
      <c r="B191" s="41" t="s">
        <v>146</v>
      </c>
      <c r="C191" s="46">
        <v>0.20559193395926331</v>
      </c>
      <c r="D191" s="46">
        <v>6.6759436997761407E-2</v>
      </c>
      <c r="E191" s="46">
        <v>-1.4228199515039749E-2</v>
      </c>
      <c r="F191" s="46">
        <v>-5.0242601431034969E-2</v>
      </c>
      <c r="G191" s="46">
        <v>-5.0770043861471048E-2</v>
      </c>
      <c r="H191" s="46">
        <v>4.8988167291935045E-2</v>
      </c>
      <c r="I191" s="46">
        <v>8.9555361022818553E-2</v>
      </c>
      <c r="J191" s="46">
        <v>0.10860726794586859</v>
      </c>
      <c r="K191" s="46">
        <v>0.10371237751100414</v>
      </c>
      <c r="L191" s="46">
        <v>0.1115317962892788</v>
      </c>
      <c r="M191" s="46">
        <v>0.11421739812849639</v>
      </c>
      <c r="N191" s="46">
        <v>0.12712067526291118</v>
      </c>
      <c r="O191" s="46">
        <v>0.12987162057537052</v>
      </c>
      <c r="P191" s="46">
        <v>0.13386677952910578</v>
      </c>
      <c r="Q191" s="46">
        <v>0.13804610313641366</v>
      </c>
      <c r="R191" s="46">
        <v>0.129309276407125</v>
      </c>
      <c r="S191" s="46">
        <v>0.124147765433177</v>
      </c>
      <c r="T191" s="46">
        <v>0.14862285940787964</v>
      </c>
      <c r="U191" s="46">
        <v>0.17036403890414242</v>
      </c>
      <c r="V191" s="46">
        <v>7.4830492486595138E-2</v>
      </c>
      <c r="W191" s="46">
        <v>5.1492601495018463E-2</v>
      </c>
      <c r="X191" s="46">
        <v>-3.1547583469883164E-2</v>
      </c>
      <c r="Y191" s="46">
        <v>-3.460496169549223E-2</v>
      </c>
      <c r="Z191" s="46">
        <v>5.6233134562640438E-2</v>
      </c>
      <c r="AA191" s="46">
        <v>8.8397595527522993E-2</v>
      </c>
      <c r="AB191" s="46">
        <v>2.6728085153731668E-2</v>
      </c>
      <c r="AC191" s="46">
        <v>-1.1809273056875345E-3</v>
      </c>
      <c r="AD191" s="46">
        <v>-7.1854409440259056E-3</v>
      </c>
      <c r="AE191" s="46">
        <v>-2.1198106476542723E-2</v>
      </c>
      <c r="AF191" s="46">
        <v>8.9041196184113339E-2</v>
      </c>
      <c r="AG191" s="46">
        <v>0.1187581291693959</v>
      </c>
      <c r="AH191" s="46">
        <v>0.13666879605816842</v>
      </c>
      <c r="AI191" s="46">
        <v>0.11111572237922887</v>
      </c>
      <c r="AJ191" s="46">
        <v>0.14429776818642337</v>
      </c>
      <c r="AK191" s="46">
        <v>0.14596656304405928</v>
      </c>
      <c r="AL191" s="46">
        <v>0.20321578373080665</v>
      </c>
      <c r="AM191" s="46">
        <v>0.2493251934307168</v>
      </c>
      <c r="AN191" s="46">
        <f>AN71/AVERAGE(AN113,AJ113)</f>
        <v>0.28610273153777321</v>
      </c>
      <c r="AO191" s="46">
        <f>(AO71+AN71-AK71)/AVERAGE(AO113,AK113)</f>
        <v>0.31123200360531461</v>
      </c>
      <c r="AP191" s="46">
        <f>(AP71+AN71-AL71)/AVERAGE(AP113,AL113)</f>
        <v>0.30027299352410841</v>
      </c>
      <c r="AQ191" s="46">
        <f>(AQ71+AN71-AM71)/AVERAGE(AQ113,AM113)</f>
        <v>0.35197203496608132</v>
      </c>
      <c r="AR191" s="78">
        <f>AR71/AVERAGE(AR113,AN113)</f>
        <v>0.37712414141331241</v>
      </c>
      <c r="AS191" s="46">
        <f>(AS71+AR71-AO71)/AVERAGE(AS113,AO113)</f>
        <v>0.48991622754824227</v>
      </c>
      <c r="AT191" s="46">
        <f>(AT71+AR71-AP71)/AVERAGE(AT113,AP113)</f>
        <v>0.4789023411525149</v>
      </c>
      <c r="AU191" s="46">
        <f>(AU71+AR71-AQ71)/AVERAGE(AU113,AQ113)</f>
        <v>0.38897181131102482</v>
      </c>
      <c r="AV191" s="96">
        <f>AV71/AVERAGE(AV113,AR113)</f>
        <v>0.28521745966870155</v>
      </c>
    </row>
    <row r="192" spans="1:48" ht="15" customHeight="1" x14ac:dyDescent="0.25">
      <c r="A192" s="65" t="s">
        <v>165</v>
      </c>
      <c r="B192" s="59" t="s">
        <v>147</v>
      </c>
      <c r="C192" s="49">
        <v>0.10407379650482508</v>
      </c>
      <c r="D192" s="49">
        <v>3.2798331980427357E-2</v>
      </c>
      <c r="E192" s="49">
        <v>-6.8759285643354958E-3</v>
      </c>
      <c r="F192" s="49">
        <v>-2.3845329588490217E-2</v>
      </c>
      <c r="G192" s="49">
        <v>-2.4021746926767826E-2</v>
      </c>
      <c r="H192" s="49">
        <v>2.4055651589909143E-2</v>
      </c>
      <c r="I192" s="49">
        <v>4.5611236279195319E-2</v>
      </c>
      <c r="J192" s="49">
        <v>5.7159959647387952E-2</v>
      </c>
      <c r="K192" s="49">
        <v>5.6136399628212978E-2</v>
      </c>
      <c r="L192" s="49">
        <v>6.1139077364145034E-2</v>
      </c>
      <c r="M192" s="49">
        <v>6.266514238962323E-2</v>
      </c>
      <c r="N192" s="49">
        <v>6.8817943825354319E-2</v>
      </c>
      <c r="O192" s="49">
        <v>6.8574657011949286E-2</v>
      </c>
      <c r="P192" s="49">
        <v>6.9202517625497895E-2</v>
      </c>
      <c r="Q192" s="49">
        <v>7.0094956468962841E-2</v>
      </c>
      <c r="R192" s="49">
        <v>6.4712224593639678E-2</v>
      </c>
      <c r="S192" s="49">
        <v>6.2161349354997425E-2</v>
      </c>
      <c r="T192" s="49">
        <v>7.471707434493062E-2</v>
      </c>
      <c r="U192" s="49">
        <v>8.5788363803979556E-2</v>
      </c>
      <c r="V192" s="49">
        <v>3.7186292583416956E-2</v>
      </c>
      <c r="W192" s="49">
        <v>2.4849180130681516E-2</v>
      </c>
      <c r="X192" s="49">
        <v>-1.440543748605938E-2</v>
      </c>
      <c r="Y192" s="49">
        <v>-1.5071597127730743E-2</v>
      </c>
      <c r="Z192" s="49">
        <v>2.3998164012655154E-2</v>
      </c>
      <c r="AA192" s="49">
        <v>3.7577351114034423E-2</v>
      </c>
      <c r="AB192" s="49">
        <v>1.1313515339638675E-2</v>
      </c>
      <c r="AC192" s="49">
        <v>-4.8817649302500022E-4</v>
      </c>
      <c r="AD192" s="49">
        <v>-2.8757440528114284E-3</v>
      </c>
      <c r="AE192" s="49">
        <v>-7.9900757851792351E-3</v>
      </c>
      <c r="AF192" s="49">
        <v>3.2915117867706747E-2</v>
      </c>
      <c r="AG192" s="49">
        <v>4.3814458927215479E-2</v>
      </c>
      <c r="AH192" s="49">
        <v>5.1050482771632578E-2</v>
      </c>
      <c r="AI192" s="49">
        <v>4.2566259138210071E-2</v>
      </c>
      <c r="AJ192" s="49">
        <v>5.4638859113956682E-2</v>
      </c>
      <c r="AK192" s="49">
        <v>5.0620761039796132E-2</v>
      </c>
      <c r="AL192" s="49">
        <v>6.6237450920698854E-2</v>
      </c>
      <c r="AM192" s="49">
        <v>7.860980760575606E-2</v>
      </c>
      <c r="AN192" s="49">
        <f>AN71/AVERAGE(AN114,AJ114)</f>
        <v>9.6127362943817532E-2</v>
      </c>
      <c r="AO192" s="49">
        <f>(AO71+AN71-AK71)/AVERAGE(AO114,AK114)</f>
        <v>9.249053832167918E-2</v>
      </c>
      <c r="AP192" s="49">
        <f>(AP71+AN71-AL71)/AVERAGE(AP114,AL114)</f>
        <v>9.4827752658553685E-2</v>
      </c>
      <c r="AQ192" s="49">
        <f>(AQ71+AN71-AM71)/AVERAGE(AQ114,AM114)</f>
        <v>0.11524646147056122</v>
      </c>
      <c r="AR192" s="79">
        <f>AR71/AVERAGE(AR114,AN114)</f>
        <v>0.13096993917000394</v>
      </c>
      <c r="AS192" s="49">
        <f>(AS71+AR71-AO71)/AVERAGE(AS114,AO114)</f>
        <v>0.16683848980353724</v>
      </c>
      <c r="AT192" s="49">
        <f>(AT71+AR71-AP71)/AVERAGE(AT114,AP114)</f>
        <v>0.17862225152116365</v>
      </c>
      <c r="AU192" s="49">
        <f>(AU71+AR71-AQ71)/AVERAGE(AU114,AQ114)</f>
        <v>0.1490613793709005</v>
      </c>
      <c r="AV192" s="79">
        <f>AV71/AVERAGE(AV114,AR114)</f>
        <v>0.11456966019382098</v>
      </c>
    </row>
    <row r="194" spans="4:45" ht="14.4" x14ac:dyDescent="0.3"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O194"/>
      <c r="AS194"/>
    </row>
  </sheetData>
  <hyperlinks>
    <hyperlink ref="B4" location="'Finansal Veriler - Eski Segment'!A43" display="Konsolide Özet Gelir Tablosu (Çeyreklik)" xr:uid="{00000000-0004-0000-0200-000000000000}"/>
    <hyperlink ref="B3" location="'Finansal Veriler - Eski Segment'!A27" display="Konsolide Özet Gelir Tablosu (Kümülatif)" xr:uid="{00000000-0004-0000-0200-000001000000}"/>
    <hyperlink ref="B5" location="'Finansal Veriler - Eski Segment'!A71" display="Konsolide Gelir, FAVÖK ve Net Kar Dağılımı (Kümülatif)" xr:uid="{00000000-0004-0000-0200-000002000000}"/>
    <hyperlink ref="B6" location="'Finansal Veriler - Eski Segment'!A99" display="Konsolide Gelir, FAVÖK ve Net Kar Dağılımı (Çeyreklik)" xr:uid="{00000000-0004-0000-0200-000003000000}"/>
    <hyperlink ref="A27" location="'Finansal Veriler - Eski Segment'!A1" display="Yukarı" xr:uid="{00000000-0004-0000-0200-000004000000}"/>
    <hyperlink ref="B7" location="'Finansal Veriler - Eski Segment'!A114" display="Konsolide Özet Bilanço" xr:uid="{00000000-0004-0000-0200-00000D000000}"/>
    <hyperlink ref="B8" location="'Finansal Veriler - Eski Segment'!A141" display="Bölümler bazında varlıklar ve kaynaklar:" xr:uid="{00000000-0004-0000-0200-00000E000000}"/>
    <hyperlink ref="B9" location="'Finansal Veriler - Eski Segment'!A156" display="Konsolide Özet Nakit Akım Tablosu" xr:uid="{00000000-0004-0000-0200-00000F000000}"/>
    <hyperlink ref="B10" location="'Finansal Veriler - Eski Segment'!A170" display="Maddi, maddi olmayan duran varlıklar ile ilgili bölümler bazında bilgi" xr:uid="{00000000-0004-0000-0200-000010000000}"/>
    <hyperlink ref="B12" location="'Finansal Veriler - Eski Segment'!A192" display="Rasyolar" xr:uid="{00000000-0004-0000-0200-000011000000}"/>
    <hyperlink ref="B11" location="'Finansal Veriler - Eski Segment'!A179" display="Net Nakit Durumu" xr:uid="{00000000-0004-0000-0200-000013000000}"/>
    <hyperlink ref="A43" location="'Finansal Veriler - Eski Segment'!A1" display="Yukarı" xr:uid="{44046E4B-15A0-4B49-8F77-E4BEDE411AD9}"/>
    <hyperlink ref="A71" location="'Finansal Veriler - Eski Segment'!A1" display="Yukarı" xr:uid="{1020E59E-7F43-488B-B00D-568A3108DB7F}"/>
    <hyperlink ref="A99" location="'Finansal Veriler - Eski Segment'!A1" display="Yukarı" xr:uid="{080DDAF2-1D28-4411-A323-C865B86C7F15}"/>
    <hyperlink ref="A114" location="'Finansal Veriler - Eski Segment'!A1" display="Yukarı" xr:uid="{4F79409D-B2C8-46D9-A69E-582A1ED5A0ED}"/>
    <hyperlink ref="A141" location="'Finansal Veriler - Eski Segment'!A1" display="Yukarı" xr:uid="{410DFE10-EEF6-407D-B420-E97425AFC101}"/>
    <hyperlink ref="A156" location="'Finansal Veriler - Eski Segment'!A1" display="Yukarı" xr:uid="{12077450-8B8D-4314-87EE-5C4C8D88332C}"/>
    <hyperlink ref="A170" location="'Finansal Veriler - Eski Segment'!A1" display="Yukarı" xr:uid="{4E4DE8C3-E062-4207-A02C-7AE1F7D3FBBD}"/>
    <hyperlink ref="A179" location="'Finansal Veriler - Eski Segment'!A1" display="Yukarı" xr:uid="{9A666A53-5118-41EE-85B0-8930470BB7CE}"/>
    <hyperlink ref="A192" location="'Finansal Veriler - Eski Segment'!A1" display="Yukarı" xr:uid="{5EA18773-26C7-4A8D-B71C-417090C8040E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Kapak</vt:lpstr>
      <vt:lpstr>Operasyonel Veriler</vt:lpstr>
      <vt:lpstr>Finansal Veriler - Yeni Segment</vt:lpstr>
      <vt:lpstr>Finansal Veriler - Yeni - USD</vt:lpstr>
      <vt:lpstr>Finansal Veriler - Eski Segment</vt:lpstr>
      <vt:lpstr>'Finansal Veriler - Eski Segment'!Print_Area</vt:lpstr>
      <vt:lpstr>'Finansal Veriler - Yeni - USD'!Print_Area</vt:lpstr>
      <vt:lpstr>'Finansal Veriler - Yeni Segment'!Print_Area</vt:lpstr>
      <vt:lpstr>Kapak!Print_Area</vt:lpstr>
      <vt:lpstr>'Operasyonel Veriler'!Print_Area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2021-04-29T14:18:42Z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